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14865" windowHeight="4950"/>
  </bookViews>
  <sheets>
    <sheet name="Hourly components" sheetId="1" r:id="rId1"/>
    <sheet name="Sheet1" sheetId="5" r:id="rId2"/>
    <sheet name="clinical +" sheetId="4" r:id="rId3"/>
    <sheet name="DHER" sheetId="2" r:id="rId4"/>
    <sheet name="Hourly Rates2017 review" sheetId="3" r:id="rId5"/>
  </sheets>
  <definedNames>
    <definedName name="_xlnm.Print_Area" localSheetId="0">'Hourly components'!$A$1:$L$91</definedName>
  </definedName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K21" i="1" l="1"/>
  <c r="K22" i="1" s="1"/>
  <c r="K23" i="1" s="1"/>
  <c r="K24" i="1" s="1"/>
  <c r="C90" i="1" s="1"/>
  <c r="E74" i="3"/>
  <c r="E76" i="3" s="1"/>
  <c r="E77" i="3" s="1"/>
  <c r="E78" i="3" s="1"/>
  <c r="G19" i="5" l="1"/>
  <c r="G20" i="5" s="1"/>
  <c r="G21" i="5" s="1"/>
  <c r="G22" i="5" s="1"/>
  <c r="F19" i="5"/>
  <c r="F20" i="5" s="1"/>
  <c r="F21" i="5" s="1"/>
  <c r="F22" i="5" s="1"/>
  <c r="E19" i="5"/>
  <c r="E20" i="5" s="1"/>
  <c r="E21" i="5" s="1"/>
  <c r="E22" i="5" s="1"/>
  <c r="D19" i="5"/>
  <c r="D20" i="5" s="1"/>
  <c r="D21" i="5" s="1"/>
  <c r="D22" i="5" s="1"/>
  <c r="C19" i="5"/>
  <c r="C20" i="5" s="1"/>
  <c r="C21" i="5" s="1"/>
  <c r="C22" i="5" s="1"/>
  <c r="C65" i="1"/>
  <c r="J21" i="1"/>
  <c r="D3" i="3"/>
  <c r="I21" i="1" l="1"/>
  <c r="H21" i="1"/>
  <c r="G21" i="1"/>
  <c r="F21" i="1"/>
  <c r="E21" i="1"/>
  <c r="D21" i="1"/>
  <c r="C21" i="1"/>
  <c r="D23" i="4" l="1"/>
  <c r="E28" i="4"/>
  <c r="E27" i="4"/>
  <c r="E29" i="4" s="1"/>
  <c r="E30" i="4" s="1"/>
  <c r="E31" i="4" s="1"/>
  <c r="E8" i="4"/>
  <c r="D4" i="4"/>
  <c r="O21" i="1" l="1"/>
  <c r="O22" i="1" s="1"/>
  <c r="O23" i="1" s="1"/>
  <c r="O24" i="1" s="1"/>
  <c r="M21" i="1"/>
  <c r="M22" i="1" s="1"/>
  <c r="M23" i="1" s="1"/>
  <c r="M24" i="1" s="1"/>
  <c r="D24" i="4"/>
  <c r="D25" i="4" s="1"/>
  <c r="D28" i="4" s="1"/>
  <c r="E9" i="4"/>
  <c r="E10" i="4" s="1"/>
  <c r="E11" i="4" s="1"/>
  <c r="E12" i="4" s="1"/>
  <c r="D5" i="4"/>
  <c r="D71" i="3"/>
  <c r="D70" i="3"/>
  <c r="D60" i="3"/>
  <c r="D59" i="3"/>
  <c r="D48" i="3"/>
  <c r="D47" i="3"/>
  <c r="D36" i="3"/>
  <c r="D35" i="3"/>
  <c r="D25" i="3"/>
  <c r="D24" i="3"/>
  <c r="D14" i="3"/>
  <c r="D13" i="3"/>
  <c r="D4" i="3"/>
  <c r="D5" i="3" s="1"/>
  <c r="D27" i="3" l="1"/>
  <c r="D73" i="3"/>
  <c r="D74" i="3" s="1"/>
  <c r="D50" i="3"/>
  <c r="D51" i="3" s="1"/>
  <c r="D16" i="3"/>
  <c r="D17" i="3" s="1"/>
  <c r="D38" i="3"/>
  <c r="D41" i="3" s="1"/>
  <c r="D27" i="4"/>
  <c r="D29" i="4" s="1"/>
  <c r="D30" i="4" s="1"/>
  <c r="D6" i="4"/>
  <c r="D62" i="3"/>
  <c r="D64" i="3" s="1"/>
  <c r="D29" i="3"/>
  <c r="D28" i="3"/>
  <c r="D30" i="3" s="1"/>
  <c r="D31" i="3" s="1"/>
  <c r="D7" i="3"/>
  <c r="D6" i="3"/>
  <c r="D39" i="3" l="1"/>
  <c r="D42" i="3" s="1"/>
  <c r="D43" i="3" s="1"/>
  <c r="D75" i="3"/>
  <c r="D76" i="3" s="1"/>
  <c r="D77" i="3" s="1"/>
  <c r="D52" i="3"/>
  <c r="D53" i="3" s="1"/>
  <c r="E53" i="3" s="1"/>
  <c r="E55" i="3" s="1"/>
  <c r="D18" i="3"/>
  <c r="D19" i="3" s="1"/>
  <c r="D20" i="3" s="1"/>
  <c r="D8" i="4"/>
  <c r="D9" i="4"/>
  <c r="D8" i="3"/>
  <c r="D9" i="3" s="1"/>
  <c r="D63" i="3"/>
  <c r="D65" i="3" s="1"/>
  <c r="D66" i="3" s="1"/>
  <c r="D54" i="3" l="1"/>
  <c r="D10" i="4"/>
  <c r="C54" i="1"/>
  <c r="C43" i="1"/>
  <c r="J22" i="1"/>
  <c r="J23" i="1" s="1"/>
  <c r="J24" i="1" s="1"/>
  <c r="C79" i="1" s="1"/>
  <c r="I22" i="1"/>
  <c r="I23" i="1" s="1"/>
  <c r="I24" i="1" s="1"/>
  <c r="C32" i="1"/>
  <c r="H22" i="1"/>
  <c r="H23" i="1" s="1"/>
  <c r="H24" i="1" s="1"/>
  <c r="C46" i="1" s="1"/>
  <c r="G22" i="1"/>
  <c r="G23" i="1" s="1"/>
  <c r="F22" i="1"/>
  <c r="F23" i="1" s="1"/>
  <c r="E22" i="1"/>
  <c r="E23" i="1" s="1"/>
  <c r="D22" i="1"/>
  <c r="D23" i="1" s="1"/>
  <c r="C22" i="1"/>
  <c r="C23" i="1" s="1"/>
  <c r="C24" i="1" s="1"/>
  <c r="C57" i="1" s="1"/>
  <c r="G24" i="1" l="1"/>
  <c r="E63" i="1" s="1"/>
  <c r="F24" i="1"/>
  <c r="E62" i="1" s="1"/>
  <c r="E24" i="1"/>
  <c r="C83" i="1" s="1"/>
  <c r="D24" i="1"/>
  <c r="C60" i="1" s="1"/>
  <c r="C68" i="1"/>
  <c r="E68" i="1"/>
  <c r="C39" i="1"/>
  <c r="C72" i="1"/>
  <c r="C27" i="1"/>
  <c r="C35" i="1"/>
  <c r="C40" i="1" l="1"/>
  <c r="C73" i="1"/>
  <c r="C84" i="1"/>
  <c r="C29" i="1"/>
  <c r="C51" i="1"/>
  <c r="C62" i="1"/>
  <c r="C61" i="1"/>
  <c r="C38" i="1"/>
  <c r="C30" i="1"/>
  <c r="C52" i="1"/>
  <c r="C63" i="1"/>
  <c r="C74" i="1"/>
  <c r="C41" i="1"/>
  <c r="C85" i="1"/>
  <c r="E60" i="1"/>
  <c r="C71" i="1"/>
  <c r="C49" i="1"/>
  <c r="E61" i="1"/>
  <c r="E64" i="1" s="1"/>
  <c r="E67" i="1" s="1"/>
  <c r="E69" i="1" s="1"/>
  <c r="C28" i="1"/>
  <c r="C31" i="1" s="1"/>
  <c r="C34" i="1" s="1"/>
  <c r="C36" i="1" s="1"/>
  <c r="C50" i="1"/>
  <c r="C82" i="1"/>
  <c r="C64" i="1"/>
  <c r="C67" i="1" s="1"/>
  <c r="C69" i="1" s="1"/>
  <c r="C75" i="1" l="1"/>
  <c r="C78" i="1" s="1"/>
  <c r="C80" i="1" s="1"/>
  <c r="C42" i="1"/>
  <c r="C45" i="1" s="1"/>
  <c r="C47" i="1" s="1"/>
  <c r="C86" i="1"/>
  <c r="C89" i="1" s="1"/>
  <c r="C91" i="1" s="1"/>
  <c r="C53" i="1"/>
  <c r="C56" i="1" s="1"/>
  <c r="C58" i="1" s="1"/>
</calcChain>
</file>

<file path=xl/comments1.xml><?xml version="1.0" encoding="utf-8"?>
<comments xmlns="http://schemas.openxmlformats.org/spreadsheetml/2006/main">
  <authors>
    <author>laura nuss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laura nuss:</t>
        </r>
        <r>
          <rPr>
            <sz val="9"/>
            <color indexed="81"/>
            <rFont val="Tahoma"/>
            <family val="2"/>
          </rPr>
          <t xml:space="preserve">
check appendix c for number of visits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laura nuss:</t>
        </r>
        <r>
          <rPr>
            <sz val="9"/>
            <color indexed="81"/>
            <rFont val="Tahoma"/>
            <family val="2"/>
          </rPr>
          <t xml:space="preserve">
check appendix c for number of visits</t>
        </r>
      </text>
    </comment>
  </commentList>
</comments>
</file>

<file path=xl/sharedStrings.xml><?xml version="1.0" encoding="utf-8"?>
<sst xmlns="http://schemas.openxmlformats.org/spreadsheetml/2006/main" count="372" uniqueCount="142">
  <si>
    <t>RN delegation 12  hours</t>
    <phoneticPr fontId="4" type="noConversion"/>
  </si>
  <si>
    <t>Trainer</t>
  </si>
  <si>
    <t>Productivity Assumptions</t>
  </si>
  <si>
    <t>Total Hours</t>
  </si>
  <si>
    <t>&gt;missed appts</t>
  </si>
  <si>
    <t>&gt;PC assessments</t>
  </si>
  <si>
    <t>&gt;Progress Notes/Medical Records</t>
  </si>
  <si>
    <t>&gt;Employer and 1:1 supervision time</t>
  </si>
  <si>
    <t>&gt;Training Time</t>
  </si>
  <si>
    <t>"Billable Hours"</t>
  </si>
  <si>
    <t>&gt;ISP meetings</t>
  </si>
  <si>
    <t>sub-total</t>
  </si>
  <si>
    <t>Productivity Adjustment</t>
  </si>
  <si>
    <t>Staff cost per Billable Hour</t>
  </si>
  <si>
    <t xml:space="preserve"> Hourly Wages</t>
  </si>
  <si>
    <t>Direct Wages</t>
  </si>
  <si>
    <t>Indirect</t>
  </si>
  <si>
    <t>Supported Living</t>
  </si>
  <si>
    <t xml:space="preserve">program supplies and activities </t>
  </si>
  <si>
    <t>total</t>
  </si>
  <si>
    <t>Annual Billable cost per DSP</t>
  </si>
  <si>
    <t>Indirect Percentage</t>
  </si>
  <si>
    <t>House Manager 35 hours</t>
  </si>
  <si>
    <t>House Mgr 35 hours</t>
  </si>
  <si>
    <t>QIDP 12 hours</t>
  </si>
  <si>
    <t>transportation $8 per trip times 73 trips to one location</t>
  </si>
  <si>
    <t>RN delegation 20  hours</t>
  </si>
  <si>
    <t>In-Home</t>
  </si>
  <si>
    <t>Individualized Day</t>
  </si>
  <si>
    <t>&gt;job development/employer relations</t>
  </si>
  <si>
    <t>Mgr 52 hours</t>
  </si>
  <si>
    <t>QIDP 20 hours</t>
  </si>
  <si>
    <t xml:space="preserve">Indirect </t>
  </si>
  <si>
    <t>2 trips per day</t>
  </si>
  <si>
    <t>program supplies job prep</t>
  </si>
  <si>
    <t>DSP and F/U SE</t>
  </si>
  <si>
    <t>Para Professional and Group SE</t>
  </si>
  <si>
    <t>Professional Individual Supported Employment</t>
  </si>
  <si>
    <t>Individual Professional Supported Employment</t>
  </si>
  <si>
    <t>Para Professional and Group Supported Employment</t>
  </si>
  <si>
    <t>1.25 trips per day</t>
  </si>
  <si>
    <t>QIDP 5 hours</t>
    <phoneticPr fontId="4" type="noConversion"/>
  </si>
  <si>
    <t>RN delegation 7 hours</t>
    <phoneticPr fontId="4" type="noConversion"/>
  </si>
  <si>
    <t>transportation $8 per trip times 47 trips to one location</t>
    <phoneticPr fontId="4" type="noConversion"/>
  </si>
  <si>
    <t>RN delegation 12 hours</t>
    <phoneticPr fontId="4" type="noConversion"/>
  </si>
  <si>
    <t>transportation $8 per trip times 59 trips to one location</t>
    <phoneticPr fontId="4" type="noConversion"/>
  </si>
  <si>
    <t>House or Program/Mgr</t>
  </si>
  <si>
    <t>QIDP/Director</t>
  </si>
  <si>
    <t>QIDP 30 hours</t>
  </si>
  <si>
    <t>Respite</t>
  </si>
  <si>
    <t>Category</t>
  </si>
  <si>
    <t>Cost Factor</t>
  </si>
  <si>
    <t>Calculation</t>
  </si>
  <si>
    <t>Factored Rate</t>
  </si>
  <si>
    <t>Total Staff Cost</t>
  </si>
  <si>
    <t>Rate Per Hour</t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</si>
  <si>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In-Home Support</t>
    </r>
  </si>
  <si>
    <t>13.95*0.20</t>
  </si>
  <si>
    <t>Plus Benefits Factor</t>
  </si>
  <si>
    <t>Plus Program Support Costs</t>
  </si>
  <si>
    <t>Plus Administrative Costs</t>
  </si>
  <si>
    <t>Unit Rate</t>
  </si>
  <si>
    <t>Times Productivity (1)</t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</si>
  <si>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Respite</t>
    </r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</si>
  <si>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Supported Living</t>
    </r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</si>
  <si>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Supported Living w/Trans</t>
    </r>
  </si>
  <si>
    <t>Plus Travel</t>
  </si>
  <si>
    <t>average 3 people for 2-4</t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</si>
  <si>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Individualized Day</t>
    </r>
  </si>
  <si>
    <t>Coordination and collateral contacts</t>
  </si>
  <si>
    <t>Administrative (clinical/professional)</t>
  </si>
  <si>
    <t>Set up/clean up (facility day)</t>
  </si>
  <si>
    <t>Family Training/Peer</t>
  </si>
  <si>
    <t>Parenting Support/ Certified Peer</t>
  </si>
  <si>
    <t>Social and HS Assistants</t>
  </si>
  <si>
    <t>Staffing Ratio</t>
  </si>
  <si>
    <t>RN delegation 12  hours</t>
  </si>
  <si>
    <t>PTO if applicable (clinical/professional/facility day)</t>
  </si>
  <si>
    <t>1 to 1</t>
  </si>
  <si>
    <t>Base Wage/ Family Training Peer</t>
  </si>
  <si>
    <t>18.40*0.22</t>
  </si>
  <si>
    <t>&gt;travel time between appts</t>
  </si>
  <si>
    <t>18.40*1.30</t>
  </si>
  <si>
    <t>plus program support 10%</t>
  </si>
  <si>
    <t>Total Staff costs</t>
  </si>
  <si>
    <t>Hour</t>
  </si>
  <si>
    <t>Unit</t>
  </si>
  <si>
    <t>Group 1 to 4</t>
  </si>
  <si>
    <t>group</t>
  </si>
  <si>
    <t>IN</t>
  </si>
  <si>
    <t>Column1</t>
  </si>
  <si>
    <t>Column2</t>
  </si>
  <si>
    <t>Column3</t>
  </si>
  <si>
    <t>QIDP 5 hours</t>
  </si>
  <si>
    <t>RN delegation 7 hours</t>
  </si>
  <si>
    <t>transportation $8 per trip times 47 trips to one location</t>
  </si>
  <si>
    <t>RN delegation 12 hours</t>
  </si>
  <si>
    <t>transportation $8 per trip times 59 trips to one location</t>
  </si>
  <si>
    <t>program transportation staff/person 8 per trip times 250 days</t>
  </si>
  <si>
    <t>Training 40 hours</t>
  </si>
  <si>
    <t>QIDP 40 hours</t>
  </si>
  <si>
    <t>27.97*0.13</t>
  </si>
  <si>
    <t>Training 35 hours</t>
  </si>
  <si>
    <t>House Manager 30 hours</t>
  </si>
  <si>
    <t>FT RN</t>
  </si>
  <si>
    <t>Group</t>
  </si>
  <si>
    <t>program transportation staff/person $8 per trip times 250 days</t>
  </si>
  <si>
    <t>Group 1:2</t>
  </si>
  <si>
    <t>Para Prof Indiv SE</t>
  </si>
  <si>
    <r>
      <t>Base Wage/</t>
    </r>
    <r>
      <rPr>
        <b/>
        <i/>
        <sz val="11"/>
        <color theme="1"/>
        <rFont val="Calibri"/>
        <family val="2"/>
        <scheme val="minor"/>
      </rPr>
      <t xml:space="preserve"> Para Professional SE </t>
    </r>
  </si>
  <si>
    <t>Group SE</t>
  </si>
  <si>
    <t>Rehab Couns 25%</t>
  </si>
  <si>
    <t>Rehab Counselor Median</t>
  </si>
  <si>
    <t>14.80*0.22</t>
  </si>
  <si>
    <t>Benefits factor</t>
  </si>
  <si>
    <r>
      <t xml:space="preserve">Base Wage/ </t>
    </r>
    <r>
      <rPr>
        <b/>
        <i/>
        <sz val="11"/>
        <rFont val="Calibri"/>
        <family val="2"/>
        <scheme val="minor"/>
      </rPr>
      <t>Professional SE</t>
    </r>
    <r>
      <rPr>
        <b/>
        <sz val="11"/>
        <rFont val="Calibri"/>
        <family val="2"/>
        <scheme val="minor"/>
      </rPr>
      <t xml:space="preserve"> </t>
    </r>
  </si>
  <si>
    <t xml:space="preserve">Employee Benefits = Taxes 10.83% + Employee benefits and sick benefits 7.4% + PTO and overtime 1.77% </t>
  </si>
  <si>
    <t>For Waiver Year 1/FY 18 rates apply 2.6 % to all rates</t>
  </si>
  <si>
    <t>13.95*1.10</t>
  </si>
  <si>
    <t>18.14*0.17</t>
  </si>
  <si>
    <t>18.14*0.13</t>
  </si>
  <si>
    <t>12.85*1.08</t>
  </si>
  <si>
    <t>12.85*0.20</t>
  </si>
  <si>
    <t>16.45*0.13</t>
  </si>
  <si>
    <t>18.14*0.20</t>
  </si>
  <si>
    <t>$25 per day</t>
  </si>
  <si>
    <t>14.80*1.17</t>
  </si>
  <si>
    <t>20.57*0.18</t>
  </si>
  <si>
    <t>20.57*0.13</t>
  </si>
  <si>
    <t>group program support 0.44*22.88</t>
  </si>
  <si>
    <t>2017 Rate Review</t>
  </si>
  <si>
    <t>Notes</t>
  </si>
  <si>
    <t>Additional overtime assumes 1 DSP works 40% of holidays</t>
  </si>
  <si>
    <t>Supported Employment add 2% additional  overtime to 90% of holidays.</t>
  </si>
  <si>
    <t>15.50*1.3</t>
  </si>
  <si>
    <t>15.50*0.20</t>
  </si>
  <si>
    <t>23.35*0.13</t>
  </si>
  <si>
    <t>22.25*1.48</t>
  </si>
  <si>
    <t>22.25*.22</t>
  </si>
  <si>
    <t>37.83*0.19</t>
  </si>
  <si>
    <t>37.83*.13</t>
  </si>
  <si>
    <t>0.34*23.25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</si>
</sst>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9" fontId="0" fillId="0" borderId="0" xfId="0" applyNumberFormat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9" fontId="0" fillId="0" borderId="0" xfId="2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0" fontId="0" fillId="0" borderId="0" xfId="0" applyNumberFormat="1"/>
    <xf numFmtId="0" fontId="6" fillId="0" borderId="0" xfId="0" applyFont="1"/>
    <xf numFmtId="0" fontId="0" fillId="0" borderId="0" xfId="0" applyFont="1"/>
    <xf numFmtId="9" fontId="0" fillId="0" borderId="0" xfId="0" applyNumberFormat="1" applyFont="1"/>
    <xf numFmtId="9" fontId="0" fillId="0" borderId="0" xfId="1" applyNumberFormat="1" applyFont="1"/>
    <xf numFmtId="0" fontId="7" fillId="0" borderId="0" xfId="0" applyFont="1"/>
    <xf numFmtId="44" fontId="5" fillId="0" borderId="0" xfId="1" applyFont="1"/>
    <xf numFmtId="44" fontId="8" fillId="0" borderId="0" xfId="1" applyFont="1"/>
    <xf numFmtId="44" fontId="5" fillId="0" borderId="0" xfId="0" applyNumberFormat="1" applyFont="1"/>
    <xf numFmtId="165" fontId="0" fillId="0" borderId="0" xfId="2" applyNumberFormat="1" applyFont="1"/>
    <xf numFmtId="9" fontId="0" fillId="0" borderId="0" xfId="0" applyNumberFormat="1" applyAlignment="1">
      <alignment wrapText="1"/>
    </xf>
    <xf numFmtId="0" fontId="9" fillId="0" borderId="0" xfId="0" applyFont="1"/>
    <xf numFmtId="16" fontId="0" fillId="0" borderId="0" xfId="0" applyNumberForma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44" fontId="1" fillId="0" borderId="0" xfId="1" applyFont="1"/>
    <xf numFmtId="44" fontId="11" fillId="0" borderId="0" xfId="1" applyFont="1"/>
    <xf numFmtId="44" fontId="0" fillId="0" borderId="0" xfId="1" applyNumberFormat="1" applyFont="1"/>
    <xf numFmtId="9" fontId="1" fillId="0" borderId="0" xfId="0" applyNumberFormat="1" applyFont="1"/>
    <xf numFmtId="1" fontId="1" fillId="0" borderId="0" xfId="1" applyNumberFormat="1" applyFont="1"/>
    <xf numFmtId="44" fontId="1" fillId="0" borderId="0" xfId="1" applyFont="1" applyAlignment="1">
      <alignment wrapText="1"/>
    </xf>
    <xf numFmtId="44" fontId="13" fillId="0" borderId="0" xfId="1" applyFont="1"/>
    <xf numFmtId="44" fontId="14" fillId="0" borderId="0" xfId="1" applyFont="1"/>
    <xf numFmtId="0" fontId="14" fillId="0" borderId="0" xfId="0" applyFont="1"/>
    <xf numFmtId="0" fontId="14" fillId="0" borderId="0" xfId="1" applyNumberFormat="1" applyFont="1"/>
    <xf numFmtId="0" fontId="1" fillId="2" borderId="0" xfId="0" applyFont="1" applyFill="1" applyAlignment="1">
      <alignment wrapText="1"/>
    </xf>
    <xf numFmtId="44" fontId="0" fillId="0" borderId="0" xfId="1" applyFont="1" applyAlignment="1">
      <alignment wrapText="1"/>
    </xf>
    <xf numFmtId="0" fontId="17" fillId="0" borderId="0" xfId="0" applyFont="1"/>
    <xf numFmtId="2" fontId="17" fillId="0" borderId="0" xfId="0" applyNumberFormat="1" applyFont="1"/>
    <xf numFmtId="0" fontId="18" fillId="0" borderId="0" xfId="0" applyFont="1"/>
    <xf numFmtId="0" fontId="1" fillId="2" borderId="0" xfId="0" applyFont="1" applyFill="1"/>
    <xf numFmtId="44" fontId="0" fillId="2" borderId="0" xfId="1" applyFont="1" applyFill="1"/>
    <xf numFmtId="0" fontId="5" fillId="0" borderId="0" xfId="0" applyFont="1"/>
    <xf numFmtId="1" fontId="0" fillId="0" borderId="0" xfId="0" applyNumberFormat="1" applyAlignment="1">
      <alignment wrapText="1"/>
    </xf>
    <xf numFmtId="0" fontId="0" fillId="2" borderId="0" xfId="0" applyFill="1"/>
    <xf numFmtId="0" fontId="1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0" fontId="0" fillId="3" borderId="0" xfId="0" applyFill="1"/>
  </cellXfs>
  <cellStyles count="3">
    <cellStyle name="Currency" xfId="1" builtinId="4"/>
    <cellStyle name="Normal" xfId="0" builtinId="0"/>
    <cellStyle name="Percent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4" displayName="Table4" ref="A91:C111" totalsRowShown="0" dataDxfId="3">
  <autoFilter ref="A91:C111"/>
  <tableColumns count="3">
    <tableColumn id="1" name="Column1" dataDxfId="2"/>
    <tableColumn id="2" name="Column2" dataDxfId="1"/>
    <tableColumn id="3" name="Column3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3"/>
  <sheetViews>
    <sheetView tabSelected="1" zoomScale="80" zoomScaleNormal="80" workbookViewId="0">
      <selection activeCell="J72" sqref="J72"/>
    </sheetView>
  </sheetViews>
  <sheetFormatPr defaultColWidth="8.85546875" defaultRowHeight="15" x14ac:dyDescent="0.25"/>
  <cols>
    <col min="1" max="1" width="25.85546875" customWidth="1"/>
    <col min="2" max="2" width="40.28515625" customWidth="1"/>
    <col min="3" max="3" width="19.28515625" customWidth="1"/>
    <col min="4" max="4" width="14" customWidth="1"/>
    <col min="5" max="5" width="13.85546875" customWidth="1"/>
    <col min="6" max="6" width="15.140625" customWidth="1"/>
    <col min="7" max="7" width="14.28515625" customWidth="1"/>
    <col min="8" max="8" width="14.85546875" customWidth="1"/>
    <col min="9" max="9" width="17.140625" customWidth="1"/>
    <col min="10" max="11" width="14.140625" customWidth="1"/>
    <col min="12" max="12" width="13" customWidth="1"/>
    <col min="13" max="13" width="15.5703125" customWidth="1"/>
    <col min="14" max="14" width="14.28515625" customWidth="1"/>
    <col min="15" max="15" width="18.140625" customWidth="1"/>
    <col min="16" max="16" width="16" customWidth="1"/>
    <col min="17" max="17" width="13.28515625" customWidth="1"/>
    <col min="18" max="18" width="12.42578125" customWidth="1"/>
    <col min="19" max="19" width="12.5703125" customWidth="1"/>
  </cols>
  <sheetData>
    <row r="3" spans="1:16" ht="57" x14ac:dyDescent="0.45">
      <c r="C3" s="5" t="s">
        <v>35</v>
      </c>
      <c r="D3" s="10" t="s">
        <v>46</v>
      </c>
      <c r="E3" s="5" t="s">
        <v>47</v>
      </c>
      <c r="F3" s="5" t="s">
        <v>104</v>
      </c>
      <c r="G3" s="5" t="s">
        <v>1</v>
      </c>
      <c r="H3" s="10" t="s">
        <v>49</v>
      </c>
      <c r="I3" s="10" t="s">
        <v>28</v>
      </c>
      <c r="J3" s="10" t="s">
        <v>37</v>
      </c>
      <c r="K3" s="10" t="s">
        <v>108</v>
      </c>
      <c r="L3" s="10"/>
      <c r="M3" s="10" t="s">
        <v>72</v>
      </c>
      <c r="N3" s="10"/>
      <c r="O3" s="10" t="s">
        <v>73</v>
      </c>
      <c r="P3" s="10"/>
    </row>
    <row r="4" spans="1:16" ht="14.25" x14ac:dyDescent="0.45">
      <c r="A4" s="5" t="s">
        <v>15</v>
      </c>
      <c r="B4" s="2" t="s">
        <v>14</v>
      </c>
      <c r="C4" s="8">
        <v>13.95</v>
      </c>
      <c r="D4" s="8">
        <v>23.76</v>
      </c>
      <c r="E4" s="8">
        <v>31.69</v>
      </c>
      <c r="F4" s="8">
        <v>36.979999999999997</v>
      </c>
      <c r="G4" s="8">
        <v>31.69</v>
      </c>
      <c r="H4" s="8">
        <v>12.85</v>
      </c>
      <c r="I4" s="8">
        <v>15.5</v>
      </c>
      <c r="J4" s="8">
        <v>22.5</v>
      </c>
      <c r="K4" s="8">
        <v>14.8</v>
      </c>
      <c r="L4" s="8"/>
      <c r="M4" s="8">
        <v>18.399999999999999</v>
      </c>
      <c r="N4" s="8"/>
      <c r="O4" s="8">
        <v>18.399999999999999</v>
      </c>
      <c r="P4" s="8"/>
    </row>
    <row r="5" spans="1:16" ht="28.5" x14ac:dyDescent="0.45">
      <c r="B5" s="2" t="s">
        <v>114</v>
      </c>
      <c r="C5" s="1"/>
      <c r="D5" s="6">
        <f>D4*1.2</f>
        <v>28.512</v>
      </c>
      <c r="E5">
        <f t="shared" ref="E5:G5" si="0">E4*1.2</f>
        <v>38.027999999999999</v>
      </c>
      <c r="F5">
        <f t="shared" si="0"/>
        <v>44.375999999999998</v>
      </c>
      <c r="G5">
        <f t="shared" si="0"/>
        <v>38.027999999999999</v>
      </c>
      <c r="I5" s="46"/>
      <c r="J5" s="22" t="s">
        <v>112</v>
      </c>
      <c r="K5" s="1" t="s">
        <v>111</v>
      </c>
      <c r="M5" s="7" t="s">
        <v>74</v>
      </c>
      <c r="N5" s="7"/>
      <c r="O5" s="7" t="s">
        <v>74</v>
      </c>
      <c r="P5" s="7"/>
    </row>
    <row r="7" spans="1:16" ht="14.25" x14ac:dyDescent="0.45">
      <c r="B7" s="2" t="s">
        <v>2</v>
      </c>
    </row>
    <row r="8" spans="1:16" ht="14.25" x14ac:dyDescent="0.45">
      <c r="B8" t="s">
        <v>3</v>
      </c>
      <c r="C8">
        <v>40</v>
      </c>
      <c r="D8">
        <v>40</v>
      </c>
      <c r="E8">
        <v>40</v>
      </c>
      <c r="F8">
        <v>40</v>
      </c>
      <c r="G8">
        <v>40</v>
      </c>
      <c r="H8">
        <v>40</v>
      </c>
      <c r="I8">
        <v>40</v>
      </c>
      <c r="J8">
        <v>40</v>
      </c>
      <c r="K8">
        <v>40</v>
      </c>
      <c r="M8">
        <v>40</v>
      </c>
      <c r="O8">
        <v>40</v>
      </c>
    </row>
    <row r="9" spans="1:16" ht="14.25" x14ac:dyDescent="0.45">
      <c r="B9" s="2" t="s">
        <v>69</v>
      </c>
      <c r="M9">
        <v>2.21</v>
      </c>
      <c r="O9">
        <v>2.21</v>
      </c>
    </row>
    <row r="10" spans="1:16" ht="14.25" x14ac:dyDescent="0.45">
      <c r="B10" t="s">
        <v>77</v>
      </c>
      <c r="D10">
        <v>2.4</v>
      </c>
      <c r="E10">
        <v>2.4</v>
      </c>
      <c r="F10">
        <v>2.4</v>
      </c>
      <c r="G10">
        <v>2.4</v>
      </c>
    </row>
    <row r="11" spans="1:16" ht="14.25" x14ac:dyDescent="0.45">
      <c r="B11" s="2"/>
    </row>
    <row r="12" spans="1:16" ht="14.25" x14ac:dyDescent="0.45">
      <c r="B12" t="s">
        <v>71</v>
      </c>
    </row>
    <row r="13" spans="1:16" ht="14.25" x14ac:dyDescent="0.45">
      <c r="B13" t="s">
        <v>81</v>
      </c>
      <c r="C13" s="4">
        <v>1</v>
      </c>
      <c r="D13" s="4"/>
      <c r="E13" s="4"/>
      <c r="F13" s="4"/>
      <c r="G13" s="4">
        <v>0.5</v>
      </c>
      <c r="H13">
        <v>1</v>
      </c>
      <c r="I13">
        <v>2</v>
      </c>
      <c r="J13">
        <v>2</v>
      </c>
      <c r="K13">
        <v>0</v>
      </c>
      <c r="M13">
        <v>5</v>
      </c>
      <c r="O13">
        <v>5</v>
      </c>
    </row>
    <row r="14" spans="1:16" ht="14.25" x14ac:dyDescent="0.45">
      <c r="B14" t="s">
        <v>4</v>
      </c>
      <c r="C14" s="4">
        <v>0.25</v>
      </c>
      <c r="H14">
        <v>0.25</v>
      </c>
      <c r="I14">
        <v>3</v>
      </c>
      <c r="J14">
        <v>1</v>
      </c>
      <c r="K14">
        <v>0.5</v>
      </c>
      <c r="M14">
        <v>1</v>
      </c>
      <c r="O14">
        <v>1</v>
      </c>
    </row>
    <row r="15" spans="1:16" ht="14.25" x14ac:dyDescent="0.45">
      <c r="B15" t="s">
        <v>5</v>
      </c>
      <c r="C15" s="4"/>
      <c r="E15" s="3"/>
      <c r="F15" s="3"/>
    </row>
    <row r="16" spans="1:16" ht="14.25" x14ac:dyDescent="0.45">
      <c r="B16" t="s">
        <v>10</v>
      </c>
      <c r="C16" s="4">
        <v>0.25</v>
      </c>
      <c r="E16" s="3"/>
      <c r="F16" s="3"/>
    </row>
    <row r="17" spans="1:16" ht="14.25" x14ac:dyDescent="0.45">
      <c r="B17" t="s">
        <v>6</v>
      </c>
      <c r="C17" s="4"/>
      <c r="D17" s="3">
        <v>0.5</v>
      </c>
      <c r="E17" s="3">
        <v>0.5</v>
      </c>
      <c r="F17" s="3">
        <v>0.5</v>
      </c>
      <c r="G17" s="3"/>
      <c r="I17">
        <v>2</v>
      </c>
      <c r="J17">
        <v>1</v>
      </c>
      <c r="K17">
        <v>1</v>
      </c>
    </row>
    <row r="18" spans="1:16" ht="14.25" x14ac:dyDescent="0.45">
      <c r="B18" t="s">
        <v>7</v>
      </c>
      <c r="C18" s="4">
        <v>1</v>
      </c>
      <c r="D18">
        <v>1</v>
      </c>
      <c r="E18" s="3">
        <v>1</v>
      </c>
      <c r="F18" s="3">
        <v>1</v>
      </c>
      <c r="G18" s="3">
        <v>1</v>
      </c>
      <c r="H18">
        <v>0.75</v>
      </c>
      <c r="I18">
        <v>1</v>
      </c>
      <c r="J18">
        <v>1</v>
      </c>
      <c r="K18">
        <v>1</v>
      </c>
      <c r="M18">
        <v>0.75</v>
      </c>
      <c r="O18">
        <v>0.75</v>
      </c>
    </row>
    <row r="19" spans="1:16" ht="14.25" x14ac:dyDescent="0.45">
      <c r="B19" t="s">
        <v>8</v>
      </c>
      <c r="C19" s="4">
        <v>1</v>
      </c>
      <c r="D19">
        <v>1.75</v>
      </c>
      <c r="E19" s="4">
        <v>1.75</v>
      </c>
      <c r="F19" s="4">
        <v>1.75</v>
      </c>
      <c r="G19" s="3">
        <v>2</v>
      </c>
      <c r="H19">
        <v>1</v>
      </c>
      <c r="I19">
        <v>1.25</v>
      </c>
      <c r="J19">
        <v>1</v>
      </c>
      <c r="K19">
        <v>1.25</v>
      </c>
      <c r="M19">
        <v>0.25</v>
      </c>
      <c r="O19">
        <v>0.25</v>
      </c>
    </row>
    <row r="20" spans="1:16" ht="14.25" x14ac:dyDescent="0.45">
      <c r="B20" t="s">
        <v>29</v>
      </c>
      <c r="C20" s="4"/>
      <c r="E20" s="4"/>
      <c r="F20" s="4"/>
      <c r="G20" s="3"/>
      <c r="I20">
        <v>5</v>
      </c>
      <c r="J20">
        <v>7</v>
      </c>
      <c r="K20">
        <v>2</v>
      </c>
    </row>
    <row r="21" spans="1:16" ht="14.25" x14ac:dyDescent="0.45">
      <c r="B21" t="s">
        <v>11</v>
      </c>
      <c r="C21" s="4">
        <f>SUM(C9:C19)</f>
        <v>3.5</v>
      </c>
      <c r="D21" s="4">
        <f t="shared" ref="D21:I21" si="1">SUM(D9:D19)</f>
        <v>5.65</v>
      </c>
      <c r="E21" s="4">
        <f t="shared" si="1"/>
        <v>5.65</v>
      </c>
      <c r="F21" s="4">
        <f t="shared" si="1"/>
        <v>5.65</v>
      </c>
      <c r="G21" s="4">
        <f t="shared" si="1"/>
        <v>5.9</v>
      </c>
      <c r="H21" s="4">
        <f t="shared" si="1"/>
        <v>3</v>
      </c>
      <c r="I21" s="4">
        <f t="shared" si="1"/>
        <v>9.25</v>
      </c>
      <c r="J21" s="4">
        <f>SUM(J9:J20)</f>
        <v>13</v>
      </c>
      <c r="K21" s="4">
        <f>SUM(K13:K20)</f>
        <v>5.75</v>
      </c>
      <c r="M21">
        <f t="shared" ref="M21:O21" si="2">SUM(M9:M20)</f>
        <v>9.2100000000000009</v>
      </c>
      <c r="O21">
        <f t="shared" si="2"/>
        <v>9.2100000000000009</v>
      </c>
    </row>
    <row r="22" spans="1:16" ht="14.25" x14ac:dyDescent="0.45">
      <c r="B22" t="s">
        <v>9</v>
      </c>
      <c r="C22" s="4">
        <f>40-C21</f>
        <v>36.5</v>
      </c>
      <c r="D22" s="4">
        <f>40-D21</f>
        <v>34.35</v>
      </c>
      <c r="E22" s="3">
        <f>40-E21</f>
        <v>34.35</v>
      </c>
      <c r="F22" s="3">
        <f>40-F21</f>
        <v>34.35</v>
      </c>
      <c r="G22" s="4">
        <f>40-G21</f>
        <v>34.1</v>
      </c>
      <c r="H22">
        <f t="shared" ref="H22:O22" si="3">40-H21</f>
        <v>37</v>
      </c>
      <c r="I22">
        <f t="shared" si="3"/>
        <v>30.75</v>
      </c>
      <c r="J22">
        <f t="shared" si="3"/>
        <v>27</v>
      </c>
      <c r="K22" s="4">
        <f>40-K21</f>
        <v>34.25</v>
      </c>
      <c r="M22">
        <f t="shared" si="3"/>
        <v>30.79</v>
      </c>
      <c r="O22">
        <f t="shared" si="3"/>
        <v>30.79</v>
      </c>
    </row>
    <row r="23" spans="1:16" ht="14.25" x14ac:dyDescent="0.45">
      <c r="B23" t="s">
        <v>12</v>
      </c>
      <c r="C23" s="4">
        <f t="shared" ref="C23:J23" si="4">40/C22</f>
        <v>1.095890410958904</v>
      </c>
      <c r="D23" s="4">
        <f t="shared" si="4"/>
        <v>1.1644832605531295</v>
      </c>
      <c r="E23" s="4">
        <f t="shared" si="4"/>
        <v>1.1644832605531295</v>
      </c>
      <c r="F23" s="4">
        <f t="shared" si="4"/>
        <v>1.1644832605531295</v>
      </c>
      <c r="G23" s="4">
        <f t="shared" si="4"/>
        <v>1.1730205278592374</v>
      </c>
      <c r="H23" s="4">
        <f t="shared" si="4"/>
        <v>1.0810810810810811</v>
      </c>
      <c r="I23" s="4">
        <f t="shared" si="4"/>
        <v>1.3008130081300813</v>
      </c>
      <c r="J23" s="4">
        <f t="shared" si="4"/>
        <v>1.4814814814814814</v>
      </c>
      <c r="K23" s="4">
        <f>40/K22</f>
        <v>1.167883211678832</v>
      </c>
      <c r="L23" s="4"/>
      <c r="M23" s="4">
        <f t="shared" ref="M23:O23" si="5">40/M22</f>
        <v>1.2991230919129588</v>
      </c>
      <c r="N23" s="4"/>
      <c r="O23" s="4">
        <f t="shared" si="5"/>
        <v>1.2991230919129588</v>
      </c>
      <c r="P23" s="4"/>
    </row>
    <row r="24" spans="1:16" ht="14.25" x14ac:dyDescent="0.45">
      <c r="B24" s="5" t="s">
        <v>13</v>
      </c>
      <c r="C24" s="8">
        <f t="shared" ref="C24:O24" si="6">C23*C4</f>
        <v>15.287671232876711</v>
      </c>
      <c r="D24" s="8">
        <f>D23*D5</f>
        <v>33.201746724890825</v>
      </c>
      <c r="E24" s="8">
        <f t="shared" ref="E24:G24" si="7">E23*E5</f>
        <v>44.282969432314403</v>
      </c>
      <c r="F24" s="8">
        <f t="shared" si="7"/>
        <v>51.675109170305667</v>
      </c>
      <c r="G24" s="8">
        <f t="shared" si="7"/>
        <v>44.60762463343108</v>
      </c>
      <c r="H24" s="8">
        <f t="shared" si="6"/>
        <v>13.891891891891893</v>
      </c>
      <c r="I24" s="8">
        <f t="shared" si="6"/>
        <v>20.162601626016261</v>
      </c>
      <c r="J24" s="8">
        <f t="shared" si="6"/>
        <v>33.333333333333329</v>
      </c>
      <c r="K24" s="8">
        <f>K23*K4</f>
        <v>17.284671532846716</v>
      </c>
      <c r="L24" s="8"/>
      <c r="M24" s="8">
        <f t="shared" si="6"/>
        <v>23.903864891198442</v>
      </c>
      <c r="N24" s="8"/>
      <c r="O24" s="8">
        <f t="shared" si="6"/>
        <v>23.903864891198442</v>
      </c>
      <c r="P24" s="4"/>
    </row>
    <row r="25" spans="1:16" ht="14.25" x14ac:dyDescent="0.45">
      <c r="L25" s="8"/>
      <c r="M25" s="8"/>
      <c r="N25" s="8"/>
      <c r="O25" s="8"/>
    </row>
    <row r="27" spans="1:16" ht="14.25" x14ac:dyDescent="0.45">
      <c r="A27" s="5">
        <v>0</v>
      </c>
      <c r="B27" t="s">
        <v>23</v>
      </c>
      <c r="C27" s="8">
        <f>D24*35</f>
        <v>1162.0611353711788</v>
      </c>
    </row>
    <row r="28" spans="1:16" ht="14.25" x14ac:dyDescent="0.45">
      <c r="A28" s="2" t="s">
        <v>17</v>
      </c>
      <c r="B28" t="s">
        <v>24</v>
      </c>
      <c r="C28" s="8">
        <f>E24*12</f>
        <v>531.39563318777277</v>
      </c>
    </row>
    <row r="29" spans="1:16" ht="14.25" x14ac:dyDescent="0.45">
      <c r="B29" t="s">
        <v>26</v>
      </c>
      <c r="C29" s="8">
        <f>F24*20</f>
        <v>1033.5021834061133</v>
      </c>
      <c r="L29" s="5"/>
    </row>
    <row r="30" spans="1:16" ht="14.25" x14ac:dyDescent="0.45">
      <c r="B30" t="s">
        <v>99</v>
      </c>
      <c r="C30" s="8">
        <f>G24*40</f>
        <v>1784.3049853372431</v>
      </c>
      <c r="L30" s="7"/>
      <c r="M30" s="7"/>
      <c r="N30" s="8"/>
    </row>
    <row r="31" spans="1:16" ht="14.25" x14ac:dyDescent="0.45">
      <c r="B31" t="s">
        <v>11</v>
      </c>
      <c r="C31" s="8">
        <f>SUM(C27:C30)</f>
        <v>4511.2639373023085</v>
      </c>
      <c r="N31" s="8"/>
    </row>
    <row r="32" spans="1:16" ht="28.5" x14ac:dyDescent="0.45">
      <c r="B32" s="7" t="s">
        <v>25</v>
      </c>
      <c r="C32" s="8">
        <f>8*73</f>
        <v>584</v>
      </c>
      <c r="M32" s="7"/>
      <c r="N32" s="8"/>
    </row>
    <row r="33" spans="1:14" ht="14.25" x14ac:dyDescent="0.45">
      <c r="B33" t="s">
        <v>18</v>
      </c>
      <c r="C33" s="8">
        <v>1200</v>
      </c>
      <c r="N33" s="8"/>
    </row>
    <row r="34" spans="1:14" ht="14.25" x14ac:dyDescent="0.45">
      <c r="B34" t="s">
        <v>19</v>
      </c>
      <c r="C34" s="8">
        <f>SUM(C31:C33)</f>
        <v>6295.2639373023085</v>
      </c>
    </row>
    <row r="35" spans="1:14" ht="14.25" x14ac:dyDescent="0.45">
      <c r="B35" t="s">
        <v>20</v>
      </c>
      <c r="C35" s="8">
        <f>C24*2080</f>
        <v>31798.35616438356</v>
      </c>
    </row>
    <row r="36" spans="1:14" ht="14.25" x14ac:dyDescent="0.45">
      <c r="B36" t="s">
        <v>21</v>
      </c>
      <c r="C36" s="9">
        <f>C34/C35</f>
        <v>0.19797450864310576</v>
      </c>
    </row>
    <row r="37" spans="1:14" ht="14.25" x14ac:dyDescent="0.45">
      <c r="C37" s="8"/>
    </row>
    <row r="38" spans="1:14" ht="14.25" x14ac:dyDescent="0.45">
      <c r="A38" s="5" t="s">
        <v>16</v>
      </c>
      <c r="B38" t="s">
        <v>103</v>
      </c>
      <c r="C38" s="8">
        <f>D24*30</f>
        <v>996.05240174672474</v>
      </c>
    </row>
    <row r="39" spans="1:14" ht="14.25" x14ac:dyDescent="0.45">
      <c r="A39" s="2" t="s">
        <v>49</v>
      </c>
      <c r="B39" t="s">
        <v>41</v>
      </c>
      <c r="C39" s="8">
        <f>E24*5</f>
        <v>221.41484716157203</v>
      </c>
    </row>
    <row r="40" spans="1:14" ht="14.25" x14ac:dyDescent="0.45">
      <c r="B40" t="s">
        <v>42</v>
      </c>
      <c r="C40" s="8">
        <f>F24*7</f>
        <v>361.72576419213965</v>
      </c>
    </row>
    <row r="41" spans="1:14" ht="14.25" x14ac:dyDescent="0.45">
      <c r="B41" t="s">
        <v>102</v>
      </c>
      <c r="C41" s="8">
        <f>G24*35</f>
        <v>1561.2668621700877</v>
      </c>
    </row>
    <row r="42" spans="1:14" ht="14.25" x14ac:dyDescent="0.45">
      <c r="B42" t="s">
        <v>11</v>
      </c>
      <c r="C42" s="8">
        <f>SUM(C38:C41)</f>
        <v>3140.4598752705242</v>
      </c>
    </row>
    <row r="43" spans="1:14" ht="28.5" x14ac:dyDescent="0.45">
      <c r="B43" s="7" t="s">
        <v>43</v>
      </c>
      <c r="C43" s="8">
        <f>8*47</f>
        <v>376</v>
      </c>
    </row>
    <row r="44" spans="1:14" ht="14.25" x14ac:dyDescent="0.45">
      <c r="B44" t="s">
        <v>18</v>
      </c>
      <c r="C44" s="8">
        <v>300</v>
      </c>
    </row>
    <row r="45" spans="1:14" ht="14.25" x14ac:dyDescent="0.45">
      <c r="B45" t="s">
        <v>19</v>
      </c>
      <c r="C45" s="8">
        <f>SUM(C42:C44)</f>
        <v>3816.4598752705242</v>
      </c>
    </row>
    <row r="46" spans="1:14" ht="14.25" x14ac:dyDescent="0.45">
      <c r="B46" t="s">
        <v>20</v>
      </c>
      <c r="C46" s="8">
        <f>H24*2080</f>
        <v>28895.135135135137</v>
      </c>
    </row>
    <row r="47" spans="1:14" ht="14.25" x14ac:dyDescent="0.45">
      <c r="B47" t="s">
        <v>21</v>
      </c>
      <c r="C47" s="9">
        <f>C45/C46</f>
        <v>0.13207966868546972</v>
      </c>
    </row>
    <row r="49" spans="1:5" ht="14.25" x14ac:dyDescent="0.45">
      <c r="A49" s="5" t="s">
        <v>16</v>
      </c>
      <c r="B49" t="s">
        <v>22</v>
      </c>
      <c r="C49" s="8">
        <f>D24*35</f>
        <v>1162.0611353711788</v>
      </c>
    </row>
    <row r="50" spans="1:5" x14ac:dyDescent="0.25">
      <c r="A50" s="2" t="s">
        <v>27</v>
      </c>
      <c r="B50" t="s">
        <v>24</v>
      </c>
      <c r="C50" s="8">
        <f>E24*12</f>
        <v>531.39563318777277</v>
      </c>
    </row>
    <row r="51" spans="1:5" x14ac:dyDescent="0.25">
      <c r="B51" t="s">
        <v>44</v>
      </c>
      <c r="C51" s="8">
        <f>F24*12</f>
        <v>620.10131004366804</v>
      </c>
    </row>
    <row r="52" spans="1:5" x14ac:dyDescent="0.25">
      <c r="B52" t="s">
        <v>99</v>
      </c>
      <c r="C52" s="8">
        <f>G24*40</f>
        <v>1784.3049853372431</v>
      </c>
    </row>
    <row r="53" spans="1:5" x14ac:dyDescent="0.25">
      <c r="B53" t="s">
        <v>11</v>
      </c>
      <c r="C53" s="8">
        <f>SUM(C49:C52)</f>
        <v>4097.8630639398625</v>
      </c>
    </row>
    <row r="54" spans="1:5" ht="30" x14ac:dyDescent="0.25">
      <c r="B54" s="7" t="s">
        <v>45</v>
      </c>
      <c r="C54" s="8">
        <f>8*59</f>
        <v>472</v>
      </c>
    </row>
    <row r="55" spans="1:5" x14ac:dyDescent="0.25">
      <c r="B55" t="s">
        <v>18</v>
      </c>
      <c r="C55" s="8">
        <v>800</v>
      </c>
    </row>
    <row r="56" spans="1:5" x14ac:dyDescent="0.25">
      <c r="B56" t="s">
        <v>19</v>
      </c>
      <c r="C56" s="8">
        <f>SUM(C53:C55)</f>
        <v>5369.8630639398625</v>
      </c>
    </row>
    <row r="57" spans="1:5" x14ac:dyDescent="0.25">
      <c r="B57" t="s">
        <v>20</v>
      </c>
      <c r="C57" s="8">
        <f>C24*2080</f>
        <v>31798.35616438356</v>
      </c>
    </row>
    <row r="58" spans="1:5" x14ac:dyDescent="0.25">
      <c r="B58" t="s">
        <v>21</v>
      </c>
      <c r="C58" s="9">
        <f>C56/C57</f>
        <v>0.16887234787169578</v>
      </c>
    </row>
    <row r="60" spans="1:5" x14ac:dyDescent="0.25">
      <c r="A60" s="5" t="s">
        <v>16</v>
      </c>
      <c r="B60" t="s">
        <v>30</v>
      </c>
      <c r="C60" s="6">
        <f>D24*52</f>
        <v>1726.4908296943229</v>
      </c>
      <c r="D60" s="12">
        <v>4.2361111111111106E-2</v>
      </c>
      <c r="E60" s="6">
        <f>D24*52</f>
        <v>1726.4908296943229</v>
      </c>
    </row>
    <row r="61" spans="1:5" x14ac:dyDescent="0.25">
      <c r="A61" s="2" t="s">
        <v>28</v>
      </c>
      <c r="B61" t="s">
        <v>100</v>
      </c>
      <c r="C61" s="6">
        <f>E24*40</f>
        <v>1771.3187772925762</v>
      </c>
      <c r="E61" s="6">
        <f>E24*40</f>
        <v>1771.3187772925762</v>
      </c>
    </row>
    <row r="62" spans="1:5" x14ac:dyDescent="0.25">
      <c r="A62" t="s">
        <v>105</v>
      </c>
      <c r="B62" t="s">
        <v>26</v>
      </c>
      <c r="C62" s="6">
        <f>F24*20</f>
        <v>1033.5021834061133</v>
      </c>
      <c r="E62" s="6">
        <f>F24*20</f>
        <v>1033.5021834061133</v>
      </c>
    </row>
    <row r="63" spans="1:5" x14ac:dyDescent="0.25">
      <c r="B63" t="s">
        <v>99</v>
      </c>
      <c r="C63" s="6">
        <f>G24*40</f>
        <v>1784.3049853372431</v>
      </c>
      <c r="E63" s="6">
        <f>G24*40</f>
        <v>1784.3049853372431</v>
      </c>
    </row>
    <row r="64" spans="1:5" x14ac:dyDescent="0.25">
      <c r="B64" t="s">
        <v>11</v>
      </c>
      <c r="C64" s="4">
        <f>SUM(C60:C63)</f>
        <v>6315.6167757302555</v>
      </c>
      <c r="E64" s="4">
        <f>SUM(E60:E63)</f>
        <v>6315.6167757302555</v>
      </c>
    </row>
    <row r="65" spans="1:5" ht="30" x14ac:dyDescent="0.25">
      <c r="B65" s="7" t="s">
        <v>106</v>
      </c>
      <c r="C65">
        <f>24*250</f>
        <v>6000</v>
      </c>
      <c r="E65">
        <v>4000</v>
      </c>
    </row>
    <row r="66" spans="1:5" x14ac:dyDescent="0.25">
      <c r="B66" t="s">
        <v>18</v>
      </c>
      <c r="C66">
        <v>6000</v>
      </c>
      <c r="E66">
        <v>4000</v>
      </c>
    </row>
    <row r="67" spans="1:5" x14ac:dyDescent="0.25">
      <c r="B67" t="s">
        <v>19</v>
      </c>
      <c r="C67" s="4">
        <f>SUM(C64:C66)</f>
        <v>18315.616775730254</v>
      </c>
      <c r="E67" s="4">
        <f>SUM(E64:E66)</f>
        <v>14315.616775730256</v>
      </c>
    </row>
    <row r="68" spans="1:5" x14ac:dyDescent="0.25">
      <c r="B68" t="s">
        <v>20</v>
      </c>
      <c r="C68" s="6">
        <f>I24*2080</f>
        <v>41938.211382113826</v>
      </c>
      <c r="E68" s="4">
        <f>I24*2080</f>
        <v>41938.211382113826</v>
      </c>
    </row>
    <row r="69" spans="1:5" x14ac:dyDescent="0.25">
      <c r="B69" t="s">
        <v>21</v>
      </c>
      <c r="C69" s="9">
        <f>C67/C68</f>
        <v>0.43672861030839427</v>
      </c>
      <c r="E69" s="9">
        <f>E67/E68</f>
        <v>0.34135019839772435</v>
      </c>
    </row>
    <row r="71" spans="1:5" x14ac:dyDescent="0.25">
      <c r="A71" s="5" t="s">
        <v>32</v>
      </c>
      <c r="B71" t="s">
        <v>30</v>
      </c>
      <c r="C71" s="6">
        <f>D24*52</f>
        <v>1726.4908296943229</v>
      </c>
    </row>
    <row r="72" spans="1:5" ht="30" x14ac:dyDescent="0.25">
      <c r="A72" s="11" t="s">
        <v>38</v>
      </c>
      <c r="B72" t="s">
        <v>48</v>
      </c>
      <c r="C72" s="6">
        <f>E24*30</f>
        <v>1328.489082969432</v>
      </c>
    </row>
    <row r="73" spans="1:5" x14ac:dyDescent="0.25">
      <c r="B73" t="s">
        <v>76</v>
      </c>
      <c r="C73" s="6">
        <f>F24*12</f>
        <v>620.10131004366804</v>
      </c>
    </row>
    <row r="74" spans="1:5" x14ac:dyDescent="0.25">
      <c r="B74" t="s">
        <v>99</v>
      </c>
      <c r="C74" s="6">
        <f>G24*40</f>
        <v>1784.3049853372431</v>
      </c>
    </row>
    <row r="75" spans="1:5" x14ac:dyDescent="0.25">
      <c r="B75" t="s">
        <v>11</v>
      </c>
      <c r="C75">
        <f>SUM(C71:C74)</f>
        <v>5459.3862080446661</v>
      </c>
    </row>
    <row r="76" spans="1:5" x14ac:dyDescent="0.25">
      <c r="B76" t="s">
        <v>33</v>
      </c>
      <c r="C76">
        <v>4000</v>
      </c>
    </row>
    <row r="77" spans="1:5" x14ac:dyDescent="0.25">
      <c r="B77" t="s">
        <v>34</v>
      </c>
      <c r="C77">
        <v>2500</v>
      </c>
    </row>
    <row r="78" spans="1:5" x14ac:dyDescent="0.25">
      <c r="B78" t="s">
        <v>19</v>
      </c>
      <c r="C78">
        <f>SUM(C75:C77)</f>
        <v>11959.386208044667</v>
      </c>
    </row>
    <row r="79" spans="1:5" x14ac:dyDescent="0.25">
      <c r="B79" t="s">
        <v>20</v>
      </c>
      <c r="C79" s="6">
        <f>J24*2080</f>
        <v>69333.333333333328</v>
      </c>
      <c r="D79" s="6"/>
    </row>
    <row r="80" spans="1:5" x14ac:dyDescent="0.25">
      <c r="B80" t="s">
        <v>21</v>
      </c>
      <c r="C80" s="9">
        <f>C78/C79</f>
        <v>0.17249114723141348</v>
      </c>
      <c r="D80" s="9"/>
    </row>
    <row r="82" spans="1:3" x14ac:dyDescent="0.25">
      <c r="A82" s="5" t="s">
        <v>32</v>
      </c>
      <c r="B82" t="s">
        <v>30</v>
      </c>
      <c r="C82" s="6">
        <f>D24*52</f>
        <v>1726.4908296943229</v>
      </c>
    </row>
    <row r="83" spans="1:3" ht="45" x14ac:dyDescent="0.25">
      <c r="A83" s="11" t="s">
        <v>39</v>
      </c>
      <c r="B83" t="s">
        <v>48</v>
      </c>
      <c r="C83" s="6">
        <f>E24*30</f>
        <v>1328.489082969432</v>
      </c>
    </row>
    <row r="84" spans="1:3" x14ac:dyDescent="0.25">
      <c r="B84" t="s">
        <v>0</v>
      </c>
      <c r="C84" s="6">
        <f>F24*12</f>
        <v>620.10131004366804</v>
      </c>
    </row>
    <row r="85" spans="1:3" x14ac:dyDescent="0.25">
      <c r="B85" t="s">
        <v>99</v>
      </c>
      <c r="C85" s="6">
        <f>G24*40</f>
        <v>1784.3049853372431</v>
      </c>
    </row>
    <row r="86" spans="1:3" x14ac:dyDescent="0.25">
      <c r="B86" t="s">
        <v>11</v>
      </c>
      <c r="C86">
        <f>SUM(C82:C85)</f>
        <v>5459.3862080446661</v>
      </c>
    </row>
    <row r="88" spans="1:3" x14ac:dyDescent="0.25">
      <c r="B88" t="s">
        <v>34</v>
      </c>
      <c r="C88">
        <v>1000</v>
      </c>
    </row>
    <row r="89" spans="1:3" x14ac:dyDescent="0.25">
      <c r="B89" t="s">
        <v>19</v>
      </c>
      <c r="C89" s="4">
        <f>SUM(C86:C88)</f>
        <v>6459.3862080446661</v>
      </c>
    </row>
    <row r="90" spans="1:3" x14ac:dyDescent="0.25">
      <c r="B90" t="s">
        <v>20</v>
      </c>
      <c r="C90" s="6">
        <f>K24*2080</f>
        <v>35952.116788321167</v>
      </c>
    </row>
    <row r="91" spans="1:3" x14ac:dyDescent="0.25">
      <c r="B91" t="s">
        <v>21</v>
      </c>
      <c r="C91" s="9">
        <f>C89/C90</f>
        <v>0.17966636696459998</v>
      </c>
    </row>
    <row r="94" spans="1:3" x14ac:dyDescent="0.25">
      <c r="A94" s="5"/>
    </row>
    <row r="95" spans="1:3" x14ac:dyDescent="0.25">
      <c r="A95" s="7"/>
      <c r="C95" s="6"/>
    </row>
    <row r="101" spans="3:3" x14ac:dyDescent="0.25">
      <c r="C101" s="8"/>
    </row>
    <row r="102" spans="3:3" x14ac:dyDescent="0.25">
      <c r="C102" s="6"/>
    </row>
    <row r="103" spans="3:3" x14ac:dyDescent="0.25">
      <c r="C103" s="9"/>
    </row>
  </sheetData>
  <phoneticPr fontId="4" type="noConversion"/>
  <pageMargins left="0.7" right="0.7" top="0.75" bottom="0.75" header="0.3" footer="0.3"/>
  <pageSetup scale="46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14" workbookViewId="0">
      <selection activeCell="A27" sqref="A27:F57"/>
    </sheetView>
  </sheetViews>
  <sheetFormatPr defaultRowHeight="15" x14ac:dyDescent="0.25"/>
  <cols>
    <col min="1" max="1" width="18.140625" customWidth="1"/>
    <col min="2" max="2" width="27.5703125" customWidth="1"/>
    <col min="3" max="3" width="11.85546875" customWidth="1"/>
    <col min="4" max="4" width="14" customWidth="1"/>
    <col min="5" max="5" width="23" customWidth="1"/>
    <col min="6" max="6" width="13.42578125" customWidth="1"/>
    <col min="7" max="7" width="11.140625" customWidth="1"/>
  </cols>
  <sheetData>
    <row r="1" spans="1:7" ht="99.75" x14ac:dyDescent="0.45">
      <c r="C1" s="10" t="s">
        <v>35</v>
      </c>
      <c r="D1" s="10" t="s">
        <v>49</v>
      </c>
      <c r="E1" s="10" t="s">
        <v>28</v>
      </c>
      <c r="F1" s="10" t="s">
        <v>37</v>
      </c>
      <c r="G1" s="10" t="s">
        <v>36</v>
      </c>
    </row>
    <row r="2" spans="1:7" ht="14.25" x14ac:dyDescent="0.45">
      <c r="A2" s="5" t="s">
        <v>15</v>
      </c>
      <c r="B2" s="2" t="s">
        <v>14</v>
      </c>
      <c r="C2" s="8">
        <v>13.95</v>
      </c>
      <c r="D2" s="8">
        <v>12.65</v>
      </c>
      <c r="E2" s="8">
        <v>16</v>
      </c>
      <c r="F2" s="8">
        <v>22.34</v>
      </c>
      <c r="G2">
        <v>13.95</v>
      </c>
    </row>
    <row r="3" spans="1:7" ht="14.25" x14ac:dyDescent="0.45">
      <c r="B3" s="2"/>
      <c r="C3" s="1"/>
      <c r="E3" s="1"/>
      <c r="F3" s="1"/>
    </row>
    <row r="5" spans="1:7" ht="14.25" x14ac:dyDescent="0.45">
      <c r="B5" s="2" t="s">
        <v>2</v>
      </c>
    </row>
    <row r="6" spans="1:7" ht="14.25" x14ac:dyDescent="0.45">
      <c r="B6" t="s">
        <v>3</v>
      </c>
      <c r="C6">
        <v>40</v>
      </c>
      <c r="D6">
        <v>40</v>
      </c>
      <c r="E6">
        <v>40</v>
      </c>
      <c r="F6">
        <v>40</v>
      </c>
      <c r="G6">
        <v>40</v>
      </c>
    </row>
    <row r="7" spans="1:7" ht="14.25" x14ac:dyDescent="0.45">
      <c r="B7" s="2" t="s">
        <v>69</v>
      </c>
    </row>
    <row r="8" spans="1:7" ht="14.25" x14ac:dyDescent="0.45">
      <c r="B8" t="s">
        <v>77</v>
      </c>
    </row>
    <row r="9" spans="1:7" ht="14.25" x14ac:dyDescent="0.45">
      <c r="B9" s="2" t="s">
        <v>70</v>
      </c>
    </row>
    <row r="10" spans="1:7" ht="14.25" x14ac:dyDescent="0.45">
      <c r="B10" t="s">
        <v>71</v>
      </c>
    </row>
    <row r="11" spans="1:7" ht="14.25" x14ac:dyDescent="0.45">
      <c r="B11" t="s">
        <v>81</v>
      </c>
      <c r="C11" s="4">
        <v>2</v>
      </c>
      <c r="D11">
        <v>2</v>
      </c>
      <c r="E11">
        <v>2</v>
      </c>
      <c r="F11">
        <v>2</v>
      </c>
      <c r="G11">
        <v>2</v>
      </c>
    </row>
    <row r="12" spans="1:7" ht="14.25" x14ac:dyDescent="0.45">
      <c r="B12" t="s">
        <v>4</v>
      </c>
      <c r="C12" s="4">
        <v>0.25</v>
      </c>
      <c r="D12">
        <v>0.25</v>
      </c>
      <c r="E12">
        <v>0.5</v>
      </c>
      <c r="F12">
        <v>0.25</v>
      </c>
      <c r="G12">
        <v>0.25</v>
      </c>
    </row>
    <row r="13" spans="1:7" ht="14.25" x14ac:dyDescent="0.45">
      <c r="B13" t="s">
        <v>5</v>
      </c>
      <c r="C13" s="4"/>
    </row>
    <row r="14" spans="1:7" ht="14.25" x14ac:dyDescent="0.45">
      <c r="B14" t="s">
        <v>10</v>
      </c>
      <c r="C14" s="4">
        <v>0.25</v>
      </c>
    </row>
    <row r="15" spans="1:7" ht="14.25" x14ac:dyDescent="0.45">
      <c r="B15" t="s">
        <v>6</v>
      </c>
      <c r="C15" s="4"/>
      <c r="E15">
        <v>1</v>
      </c>
      <c r="F15">
        <v>1</v>
      </c>
      <c r="G15">
        <v>0.75</v>
      </c>
    </row>
    <row r="16" spans="1:7" ht="14.25" x14ac:dyDescent="0.45">
      <c r="B16" t="s">
        <v>7</v>
      </c>
      <c r="C16" s="4">
        <v>1</v>
      </c>
      <c r="D16">
        <v>0.75</v>
      </c>
      <c r="E16">
        <v>1</v>
      </c>
      <c r="F16">
        <v>0.75</v>
      </c>
      <c r="G16">
        <v>0.75</v>
      </c>
    </row>
    <row r="17" spans="1:7" ht="14.25" x14ac:dyDescent="0.45">
      <c r="B17" t="s">
        <v>8</v>
      </c>
      <c r="C17" s="4">
        <v>1</v>
      </c>
      <c r="D17">
        <v>1</v>
      </c>
      <c r="E17">
        <v>1.25</v>
      </c>
      <c r="F17">
        <v>1</v>
      </c>
      <c r="G17">
        <v>1</v>
      </c>
    </row>
    <row r="18" spans="1:7" ht="14.25" x14ac:dyDescent="0.45">
      <c r="B18" t="s">
        <v>29</v>
      </c>
      <c r="C18" s="4"/>
      <c r="E18">
        <v>5</v>
      </c>
      <c r="F18">
        <v>7</v>
      </c>
      <c r="G18">
        <v>0</v>
      </c>
    </row>
    <row r="19" spans="1:7" ht="14.25" x14ac:dyDescent="0.45">
      <c r="B19" t="s">
        <v>11</v>
      </c>
      <c r="C19" s="4">
        <f>SUM(C7:C17)</f>
        <v>4.5</v>
      </c>
      <c r="D19" s="4">
        <f t="shared" ref="D19:E19" si="0">SUM(D7:D17)</f>
        <v>4</v>
      </c>
      <c r="E19" s="4">
        <f t="shared" si="0"/>
        <v>5.75</v>
      </c>
      <c r="F19" s="4">
        <f>SUM(F7:F18)</f>
        <v>12</v>
      </c>
      <c r="G19">
        <f>SUM(G7:G18)</f>
        <v>4.75</v>
      </c>
    </row>
    <row r="20" spans="1:7" ht="14.25" x14ac:dyDescent="0.45">
      <c r="B20" t="s">
        <v>9</v>
      </c>
      <c r="C20" s="4">
        <f>40-C19</f>
        <v>35.5</v>
      </c>
      <c r="D20">
        <f t="shared" ref="D20:G20" si="1">40-D19</f>
        <v>36</v>
      </c>
      <c r="E20">
        <f t="shared" si="1"/>
        <v>34.25</v>
      </c>
      <c r="F20">
        <f t="shared" si="1"/>
        <v>28</v>
      </c>
      <c r="G20">
        <f t="shared" si="1"/>
        <v>35.25</v>
      </c>
    </row>
    <row r="21" spans="1:7" ht="14.25" x14ac:dyDescent="0.45">
      <c r="B21" t="s">
        <v>12</v>
      </c>
      <c r="C21" s="4">
        <f t="shared" ref="C21:G21" si="2">40/C20</f>
        <v>1.1267605633802817</v>
      </c>
      <c r="D21" s="4">
        <f t="shared" si="2"/>
        <v>1.1111111111111112</v>
      </c>
      <c r="E21" s="4">
        <f t="shared" si="2"/>
        <v>1.167883211678832</v>
      </c>
      <c r="F21" s="4">
        <f t="shared" si="2"/>
        <v>1.4285714285714286</v>
      </c>
      <c r="G21" s="4">
        <f t="shared" si="2"/>
        <v>1.1347517730496455</v>
      </c>
    </row>
    <row r="22" spans="1:7" ht="14.25" x14ac:dyDescent="0.45">
      <c r="B22" s="5" t="s">
        <v>13</v>
      </c>
      <c r="C22" s="8">
        <f t="shared" ref="C22:G22" si="3">C21*C2</f>
        <v>15.71830985915493</v>
      </c>
      <c r="D22" s="8">
        <f t="shared" si="3"/>
        <v>14.055555555555557</v>
      </c>
      <c r="E22" s="8">
        <f t="shared" si="3"/>
        <v>18.686131386861312</v>
      </c>
      <c r="F22" s="8">
        <f t="shared" si="3"/>
        <v>31.914285714285715</v>
      </c>
      <c r="G22" s="8">
        <f t="shared" si="3"/>
        <v>15.829787234042554</v>
      </c>
    </row>
    <row r="26" spans="1:7" ht="14.25" x14ac:dyDescent="0.45">
      <c r="A26" s="5"/>
      <c r="C26" s="8"/>
    </row>
    <row r="27" spans="1:7" ht="14.25" x14ac:dyDescent="0.45">
      <c r="A27" s="5"/>
      <c r="B27" t="s">
        <v>23</v>
      </c>
      <c r="C27" s="8">
        <v>953.94321766561529</v>
      </c>
      <c r="D27" t="s">
        <v>16</v>
      </c>
      <c r="E27" t="s">
        <v>30</v>
      </c>
      <c r="F27" s="8">
        <v>1417.2870662460571</v>
      </c>
    </row>
    <row r="28" spans="1:7" ht="30" x14ac:dyDescent="0.25">
      <c r="A28" s="5" t="s">
        <v>17</v>
      </c>
      <c r="B28" t="s">
        <v>24</v>
      </c>
      <c r="C28" s="8">
        <v>436.22598221967314</v>
      </c>
      <c r="D28" s="10" t="s">
        <v>28</v>
      </c>
      <c r="E28" t="s">
        <v>100</v>
      </c>
      <c r="F28" s="8">
        <v>1454.0866073989105</v>
      </c>
    </row>
    <row r="29" spans="1:7" x14ac:dyDescent="0.25">
      <c r="A29" s="5"/>
      <c r="B29" t="s">
        <v>26</v>
      </c>
      <c r="C29" s="8">
        <v>848.40837396042446</v>
      </c>
      <c r="E29" t="s">
        <v>26</v>
      </c>
      <c r="F29" s="8">
        <v>848.40837396042446</v>
      </c>
    </row>
    <row r="30" spans="1:7" x14ac:dyDescent="0.25">
      <c r="A30" s="5"/>
      <c r="B30" t="s">
        <v>99</v>
      </c>
      <c r="C30" s="8">
        <v>1464.5869439630274</v>
      </c>
      <c r="E30" t="s">
        <v>99</v>
      </c>
      <c r="F30" s="8">
        <v>1464.5869439630274</v>
      </c>
    </row>
    <row r="31" spans="1:7" x14ac:dyDescent="0.25">
      <c r="A31" s="5"/>
      <c r="B31" t="s">
        <v>11</v>
      </c>
      <c r="C31" s="8">
        <v>3703.1645178087401</v>
      </c>
      <c r="E31" t="s">
        <v>11</v>
      </c>
      <c r="F31" s="8">
        <v>5184.368991568419</v>
      </c>
    </row>
    <row r="32" spans="1:7" ht="30" x14ac:dyDescent="0.25">
      <c r="A32" s="5"/>
      <c r="B32" s="7" t="s">
        <v>25</v>
      </c>
      <c r="C32" s="8">
        <v>584</v>
      </c>
      <c r="E32" t="s">
        <v>98</v>
      </c>
      <c r="F32" s="8">
        <v>6000</v>
      </c>
    </row>
    <row r="33" spans="1:6" x14ac:dyDescent="0.25">
      <c r="A33" s="5"/>
      <c r="B33" t="s">
        <v>18</v>
      </c>
      <c r="C33" s="8">
        <v>1200</v>
      </c>
      <c r="E33" t="s">
        <v>18</v>
      </c>
      <c r="F33" s="8">
        <v>5000</v>
      </c>
    </row>
    <row r="34" spans="1:6" x14ac:dyDescent="0.25">
      <c r="A34" s="5"/>
      <c r="B34" t="s">
        <v>19</v>
      </c>
      <c r="C34" s="8">
        <v>5487.1645178087401</v>
      </c>
      <c r="E34" t="s">
        <v>19</v>
      </c>
      <c r="F34" s="8">
        <v>16184.368991568419</v>
      </c>
    </row>
    <row r="35" spans="1:6" x14ac:dyDescent="0.25">
      <c r="A35" s="5"/>
      <c r="B35" t="s">
        <v>20</v>
      </c>
      <c r="C35" s="8">
        <v>32694.084507042255</v>
      </c>
      <c r="E35" t="s">
        <v>20</v>
      </c>
      <c r="F35" s="8">
        <v>38867.153284671527</v>
      </c>
    </row>
    <row r="36" spans="1:6" x14ac:dyDescent="0.25">
      <c r="A36" s="5"/>
      <c r="B36" t="s">
        <v>21</v>
      </c>
      <c r="C36" s="9">
        <v>0.16783355767698016</v>
      </c>
      <c r="E36" t="s">
        <v>21</v>
      </c>
      <c r="F36" s="9">
        <v>0.41640222202615568</v>
      </c>
    </row>
    <row r="37" spans="1:6" ht="44.65" customHeight="1" x14ac:dyDescent="0.25">
      <c r="A37" s="14" t="s">
        <v>16</v>
      </c>
      <c r="B37" t="s">
        <v>103</v>
      </c>
      <c r="C37" s="8">
        <v>817.66561514195598</v>
      </c>
      <c r="D37" t="s">
        <v>32</v>
      </c>
      <c r="E37" t="s">
        <v>30</v>
      </c>
      <c r="F37" s="8">
        <v>1417.2870662460571</v>
      </c>
    </row>
    <row r="38" spans="1:6" ht="63.75" customHeight="1" x14ac:dyDescent="0.25">
      <c r="A38" s="5" t="s">
        <v>49</v>
      </c>
      <c r="B38" t="s">
        <v>93</v>
      </c>
      <c r="C38" s="8">
        <v>181.76082592486381</v>
      </c>
      <c r="D38" s="10" t="s">
        <v>38</v>
      </c>
      <c r="E38" t="s">
        <v>48</v>
      </c>
      <c r="F38" s="8">
        <v>1090.5649555491827</v>
      </c>
    </row>
    <row r="39" spans="1:6" x14ac:dyDescent="0.25">
      <c r="A39" s="5"/>
      <c r="B39" t="s">
        <v>94</v>
      </c>
      <c r="C39" s="8">
        <v>296.94293088614859</v>
      </c>
      <c r="E39" t="s">
        <v>76</v>
      </c>
      <c r="F39" s="8">
        <v>509.04502437625467</v>
      </c>
    </row>
    <row r="40" spans="1:6" x14ac:dyDescent="0.25">
      <c r="A40" s="5"/>
      <c r="B40" t="s">
        <v>102</v>
      </c>
      <c r="C40" s="8">
        <v>1281.5135759676491</v>
      </c>
      <c r="E40" t="s">
        <v>99</v>
      </c>
      <c r="F40" s="8">
        <v>1464.5869439630274</v>
      </c>
    </row>
    <row r="41" spans="1:6" x14ac:dyDescent="0.25">
      <c r="A41" s="5"/>
      <c r="B41" t="s">
        <v>11</v>
      </c>
      <c r="C41" s="8">
        <v>2577.8829479206174</v>
      </c>
      <c r="E41" t="s">
        <v>11</v>
      </c>
      <c r="F41" s="8">
        <v>4481.4839901345222</v>
      </c>
    </row>
    <row r="42" spans="1:6" ht="30" x14ac:dyDescent="0.25">
      <c r="A42" s="5"/>
      <c r="B42" s="7" t="s">
        <v>95</v>
      </c>
      <c r="C42" s="8">
        <v>376</v>
      </c>
      <c r="E42" t="s">
        <v>33</v>
      </c>
      <c r="F42" s="8">
        <v>4000</v>
      </c>
    </row>
    <row r="43" spans="1:6" x14ac:dyDescent="0.25">
      <c r="A43" s="5"/>
      <c r="B43" t="s">
        <v>18</v>
      </c>
      <c r="C43" s="8">
        <v>300</v>
      </c>
      <c r="E43" t="s">
        <v>34</v>
      </c>
      <c r="F43" s="8">
        <v>2500</v>
      </c>
    </row>
    <row r="44" spans="1:6" x14ac:dyDescent="0.25">
      <c r="A44" s="5"/>
      <c r="B44" t="s">
        <v>19</v>
      </c>
      <c r="C44" s="8">
        <v>3253.8829479206174</v>
      </c>
      <c r="E44" t="s">
        <v>19</v>
      </c>
      <c r="F44" s="8">
        <v>10981.483990134522</v>
      </c>
    </row>
    <row r="45" spans="1:6" x14ac:dyDescent="0.25">
      <c r="A45" s="5"/>
      <c r="B45" t="s">
        <v>20</v>
      </c>
      <c r="C45" s="8">
        <v>29235.555555555558</v>
      </c>
      <c r="E45" t="s">
        <v>20</v>
      </c>
      <c r="F45" s="8">
        <v>66381.71428571429</v>
      </c>
    </row>
    <row r="46" spans="1:6" x14ac:dyDescent="0.25">
      <c r="A46" s="5"/>
      <c r="B46" t="s">
        <v>21</v>
      </c>
      <c r="C46" s="9">
        <v>0.11129882384951943</v>
      </c>
      <c r="E46" t="s">
        <v>21</v>
      </c>
      <c r="F46" s="9">
        <v>0.1654293521687161</v>
      </c>
    </row>
    <row r="47" spans="1:6" x14ac:dyDescent="0.25">
      <c r="A47" s="5"/>
      <c r="C47" s="4"/>
    </row>
    <row r="48" spans="1:6" x14ac:dyDescent="0.25">
      <c r="A48" s="14" t="s">
        <v>16</v>
      </c>
      <c r="B48" t="s">
        <v>22</v>
      </c>
      <c r="C48" s="8">
        <v>953.94321766561529</v>
      </c>
      <c r="D48" t="s">
        <v>32</v>
      </c>
      <c r="E48" t="s">
        <v>30</v>
      </c>
      <c r="F48" s="8">
        <v>1417.2870662460571</v>
      </c>
    </row>
    <row r="49" spans="1:6" ht="72.75" customHeight="1" x14ac:dyDescent="0.25">
      <c r="A49" s="5" t="s">
        <v>27</v>
      </c>
      <c r="B49" t="s">
        <v>24</v>
      </c>
      <c r="C49" s="8">
        <v>436.22598221967314</v>
      </c>
      <c r="D49" s="10" t="s">
        <v>39</v>
      </c>
      <c r="E49" t="s">
        <v>31</v>
      </c>
      <c r="F49" s="8">
        <v>727.04330369945524</v>
      </c>
    </row>
    <row r="50" spans="1:6" x14ac:dyDescent="0.25">
      <c r="A50" s="5"/>
      <c r="B50" t="s">
        <v>96</v>
      </c>
      <c r="C50" s="8">
        <v>509.04502437625467</v>
      </c>
      <c r="E50" t="s">
        <v>76</v>
      </c>
      <c r="F50" s="8">
        <v>509.04502437625467</v>
      </c>
    </row>
    <row r="51" spans="1:6" x14ac:dyDescent="0.25">
      <c r="A51" s="5"/>
      <c r="B51" t="s">
        <v>99</v>
      </c>
      <c r="C51" s="8">
        <v>1464.5869439630274</v>
      </c>
      <c r="E51" t="s">
        <v>99</v>
      </c>
      <c r="F51" s="8">
        <v>1464.5869439630274</v>
      </c>
    </row>
    <row r="52" spans="1:6" x14ac:dyDescent="0.25">
      <c r="A52" s="5"/>
      <c r="B52" t="s">
        <v>11</v>
      </c>
      <c r="C52" s="8">
        <v>3363.8011682245706</v>
      </c>
      <c r="E52" t="s">
        <v>11</v>
      </c>
      <c r="F52" s="8">
        <v>4117.9623382847949</v>
      </c>
    </row>
    <row r="53" spans="1:6" ht="30" x14ac:dyDescent="0.25">
      <c r="A53" s="5"/>
      <c r="B53" s="7" t="s">
        <v>97</v>
      </c>
      <c r="C53" s="8">
        <v>472</v>
      </c>
      <c r="E53" t="s">
        <v>40</v>
      </c>
      <c r="F53" s="8">
        <v>2500</v>
      </c>
    </row>
    <row r="54" spans="1:6" x14ac:dyDescent="0.25">
      <c r="A54" s="5"/>
      <c r="B54" t="s">
        <v>18</v>
      </c>
      <c r="C54" s="8">
        <v>800</v>
      </c>
      <c r="E54" t="s">
        <v>34</v>
      </c>
      <c r="F54" s="8">
        <v>2200</v>
      </c>
    </row>
    <row r="55" spans="1:6" x14ac:dyDescent="0.25">
      <c r="A55" s="5"/>
      <c r="B55" t="s">
        <v>19</v>
      </c>
      <c r="C55" s="8">
        <v>4635.8011682245706</v>
      </c>
      <c r="E55" t="s">
        <v>19</v>
      </c>
      <c r="F55" s="8">
        <v>8817.9623382847949</v>
      </c>
    </row>
    <row r="56" spans="1:6" x14ac:dyDescent="0.25">
      <c r="A56" s="5"/>
      <c r="B56" t="s">
        <v>20</v>
      </c>
      <c r="C56" s="8">
        <v>32694.084507042255</v>
      </c>
      <c r="E56" t="s">
        <v>20</v>
      </c>
      <c r="F56">
        <v>32925.957446808512</v>
      </c>
    </row>
    <row r="57" spans="1:6" x14ac:dyDescent="0.25">
      <c r="A57" s="5"/>
      <c r="B57" t="s">
        <v>21</v>
      </c>
      <c r="C57" s="9">
        <v>0.14179327049901111</v>
      </c>
      <c r="E57" t="s">
        <v>21</v>
      </c>
      <c r="F57" s="9">
        <v>0.2678118731256367</v>
      </c>
    </row>
    <row r="91" spans="1:3" x14ac:dyDescent="0.25">
      <c r="A91" s="40" t="s">
        <v>90</v>
      </c>
      <c r="B91" s="40" t="s">
        <v>91</v>
      </c>
      <c r="C91" s="41" t="s">
        <v>92</v>
      </c>
    </row>
    <row r="92" spans="1:3" x14ac:dyDescent="0.25">
      <c r="A92" s="40"/>
      <c r="B92" s="40"/>
      <c r="C92" s="41"/>
    </row>
    <row r="93" spans="1:3" x14ac:dyDescent="0.25">
      <c r="A93" s="42"/>
      <c r="B93" s="42"/>
      <c r="C93" s="41"/>
    </row>
    <row r="94" spans="1:3" ht="17.25" customHeight="1" x14ac:dyDescent="0.25">
      <c r="A94" s="42"/>
      <c r="B94" s="42"/>
      <c r="C94" s="41"/>
    </row>
    <row r="95" spans="1:3" x14ac:dyDescent="0.25">
      <c r="A95" s="42"/>
      <c r="B95" s="42"/>
      <c r="C95" s="41"/>
    </row>
    <row r="96" spans="1:3" x14ac:dyDescent="0.25">
      <c r="A96" s="42"/>
      <c r="B96" s="42"/>
      <c r="C96" s="41"/>
    </row>
    <row r="97" spans="1:3" x14ac:dyDescent="0.25">
      <c r="A97" s="42"/>
      <c r="B97" s="42"/>
      <c r="C97" s="41"/>
    </row>
    <row r="98" spans="1:3" x14ac:dyDescent="0.25">
      <c r="A98" s="42"/>
      <c r="B98" s="42"/>
      <c r="C98" s="41"/>
    </row>
    <row r="99" spans="1:3" x14ac:dyDescent="0.25">
      <c r="A99" s="42"/>
      <c r="B99" s="42"/>
      <c r="C99" s="41"/>
    </row>
    <row r="100" spans="1:3" x14ac:dyDescent="0.25">
      <c r="A100" s="42"/>
      <c r="B100" s="42"/>
      <c r="C100" s="41"/>
    </row>
    <row r="101" spans="1:3" x14ac:dyDescent="0.25">
      <c r="A101" s="40"/>
      <c r="B101" s="40"/>
      <c r="C101" s="40"/>
    </row>
    <row r="102" spans="1:3" x14ac:dyDescent="0.25">
      <c r="A102" s="40"/>
      <c r="B102" s="40"/>
      <c r="C102" s="40"/>
    </row>
    <row r="103" spans="1:3" x14ac:dyDescent="0.25">
      <c r="A103" s="40"/>
      <c r="B103" s="40"/>
      <c r="C103" s="40"/>
    </row>
    <row r="104" spans="1:3" x14ac:dyDescent="0.25">
      <c r="A104" s="40"/>
      <c r="B104" s="40"/>
      <c r="C104" s="40"/>
    </row>
    <row r="105" spans="1:3" x14ac:dyDescent="0.25">
      <c r="A105" s="40"/>
      <c r="B105" s="40"/>
      <c r="C105" s="40"/>
    </row>
    <row r="106" spans="1:3" x14ac:dyDescent="0.25">
      <c r="A106" s="40"/>
      <c r="B106" s="40"/>
      <c r="C106" s="40"/>
    </row>
    <row r="107" spans="1:3" x14ac:dyDescent="0.25">
      <c r="A107" s="40"/>
      <c r="B107" s="40"/>
      <c r="C107" s="40"/>
    </row>
    <row r="108" spans="1:3" x14ac:dyDescent="0.25">
      <c r="A108" s="40"/>
      <c r="B108" s="40"/>
      <c r="C108" s="40"/>
    </row>
    <row r="109" spans="1:3" x14ac:dyDescent="0.25">
      <c r="A109" s="40"/>
      <c r="B109" s="40"/>
      <c r="C109" s="40"/>
    </row>
    <row r="110" spans="1:3" x14ac:dyDescent="0.25">
      <c r="A110" s="40"/>
      <c r="B110" s="40"/>
      <c r="C110" s="40"/>
    </row>
    <row r="111" spans="1:3" x14ac:dyDescent="0.25">
      <c r="A111" s="40"/>
      <c r="B111" s="40"/>
      <c r="C111" s="4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50"/>
  <sheetViews>
    <sheetView zoomScale="70" zoomScaleNormal="70" workbookViewId="0">
      <selection activeCell="J27" sqref="J27"/>
    </sheetView>
  </sheetViews>
  <sheetFormatPr defaultRowHeight="15" x14ac:dyDescent="0.25"/>
  <cols>
    <col min="1" max="1" width="17.5703125" customWidth="1"/>
    <col min="2" max="2" width="13.7109375" customWidth="1"/>
    <col min="3" max="3" width="14.7109375" customWidth="1"/>
    <col min="4" max="4" width="11.85546875" customWidth="1"/>
    <col min="5" max="5" width="11.140625" customWidth="1"/>
  </cols>
  <sheetData>
    <row r="2" spans="1:6" ht="14.25" x14ac:dyDescent="0.45">
      <c r="A2" s="5" t="s">
        <v>50</v>
      </c>
      <c r="B2" s="5" t="s">
        <v>51</v>
      </c>
      <c r="C2" s="5" t="s">
        <v>52</v>
      </c>
      <c r="D2" s="5" t="s">
        <v>53</v>
      </c>
    </row>
    <row r="3" spans="1:6" ht="28.5" x14ac:dyDescent="0.45">
      <c r="A3" s="38" t="s">
        <v>79</v>
      </c>
      <c r="B3">
        <v>18.399999999999999</v>
      </c>
      <c r="D3" t="s">
        <v>78</v>
      </c>
    </row>
    <row r="4" spans="1:6" ht="28.5" x14ac:dyDescent="0.45">
      <c r="A4" s="10" t="s">
        <v>62</v>
      </c>
      <c r="B4" s="7">
        <v>1.3</v>
      </c>
      <c r="C4" t="s">
        <v>82</v>
      </c>
      <c r="D4" s="8">
        <f>B4*B3</f>
        <v>23.919999999999998</v>
      </c>
      <c r="E4" s="5" t="s">
        <v>87</v>
      </c>
    </row>
    <row r="5" spans="1:6" ht="14.25" x14ac:dyDescent="0.45">
      <c r="A5" s="10" t="s">
        <v>58</v>
      </c>
      <c r="B5">
        <v>0.22</v>
      </c>
      <c r="C5" t="s">
        <v>80</v>
      </c>
      <c r="D5" s="8">
        <f>B3*B5</f>
        <v>4.048</v>
      </c>
    </row>
    <row r="6" spans="1:6" ht="14.25" x14ac:dyDescent="0.45">
      <c r="A6" s="10" t="s">
        <v>84</v>
      </c>
      <c r="D6" s="8">
        <f>SUM(D4:D5)</f>
        <v>27.967999999999996</v>
      </c>
      <c r="E6">
        <v>27.97</v>
      </c>
    </row>
    <row r="7" spans="1:6" ht="14.25" x14ac:dyDescent="0.45">
      <c r="A7" s="10" t="s">
        <v>75</v>
      </c>
      <c r="D7" s="8"/>
    </row>
    <row r="8" spans="1:6" ht="28.5" x14ac:dyDescent="0.45">
      <c r="A8" s="10" t="s">
        <v>83</v>
      </c>
      <c r="D8" s="6">
        <f>D6*0.1</f>
        <v>2.7967999999999997</v>
      </c>
      <c r="E8" s="8">
        <f>E6*0.1</f>
        <v>2.7970000000000002</v>
      </c>
      <c r="F8" s="39"/>
    </row>
    <row r="9" spans="1:6" ht="28.5" x14ac:dyDescent="0.45">
      <c r="A9" s="10" t="s">
        <v>60</v>
      </c>
      <c r="B9">
        <v>0.13</v>
      </c>
      <c r="C9" s="6" t="s">
        <v>101</v>
      </c>
      <c r="D9" s="8">
        <f>D6*0.13</f>
        <v>3.6358399999999995</v>
      </c>
      <c r="E9" s="8">
        <f>E6*0.13</f>
        <v>3.6360999999999999</v>
      </c>
      <c r="F9" s="39"/>
    </row>
    <row r="10" spans="1:6" ht="14.25" x14ac:dyDescent="0.45">
      <c r="A10" s="10" t="s">
        <v>55</v>
      </c>
      <c r="D10" s="8">
        <f>SUM(D6:D9)</f>
        <v>34.400639999999996</v>
      </c>
      <c r="E10" s="8">
        <f>SUM(E6:E9)</f>
        <v>34.403100000000002</v>
      </c>
      <c r="F10" s="39"/>
    </row>
    <row r="11" spans="1:6" ht="14.25" x14ac:dyDescent="0.45">
      <c r="A11" s="10" t="s">
        <v>61</v>
      </c>
      <c r="D11" s="8">
        <v>8.6</v>
      </c>
      <c r="E11" s="8">
        <f>E10/3.4</f>
        <v>10.118558823529412</v>
      </c>
      <c r="F11" s="33" t="s">
        <v>85</v>
      </c>
    </row>
    <row r="12" spans="1:6" ht="14.25" x14ac:dyDescent="0.45">
      <c r="E12" s="6">
        <f xml:space="preserve"> E11/4</f>
        <v>2.529639705882353</v>
      </c>
      <c r="F12" s="5" t="s">
        <v>86</v>
      </c>
    </row>
    <row r="13" spans="1:6" ht="14.25" x14ac:dyDescent="0.45">
      <c r="D13" s="6"/>
    </row>
    <row r="17" spans="1:6" x14ac:dyDescent="0.25">
      <c r="A17" s="10"/>
      <c r="B17" s="7"/>
      <c r="D17" s="8"/>
      <c r="E17" s="8"/>
    </row>
    <row r="18" spans="1:6" x14ac:dyDescent="0.25">
      <c r="A18" s="7"/>
    </row>
    <row r="19" spans="1:6" ht="27" customHeight="1" x14ac:dyDescent="0.25">
      <c r="A19" s="10"/>
      <c r="B19" s="7"/>
      <c r="D19" s="8"/>
      <c r="E19" s="8"/>
    </row>
    <row r="20" spans="1:6" x14ac:dyDescent="0.25">
      <c r="A20" s="7"/>
    </row>
    <row r="21" spans="1:6" x14ac:dyDescent="0.25">
      <c r="A21" s="10" t="s">
        <v>50</v>
      </c>
      <c r="B21" s="5" t="s">
        <v>51</v>
      </c>
      <c r="C21" s="5" t="s">
        <v>52</v>
      </c>
      <c r="D21" s="5" t="s">
        <v>53</v>
      </c>
    </row>
    <row r="22" spans="1:6" ht="45" x14ac:dyDescent="0.25">
      <c r="A22" s="38" t="s">
        <v>79</v>
      </c>
      <c r="B22">
        <v>18.399999999999999</v>
      </c>
    </row>
    <row r="23" spans="1:6" ht="30" x14ac:dyDescent="0.25">
      <c r="A23" s="10" t="s">
        <v>62</v>
      </c>
      <c r="B23" s="7">
        <v>1.3</v>
      </c>
      <c r="C23" t="s">
        <v>82</v>
      </c>
      <c r="D23" s="8">
        <f>B23*B22</f>
        <v>23.919999999999998</v>
      </c>
      <c r="E23" s="5" t="s">
        <v>87</v>
      </c>
    </row>
    <row r="24" spans="1:6" ht="30" x14ac:dyDescent="0.25">
      <c r="A24" s="10" t="s">
        <v>58</v>
      </c>
      <c r="B24">
        <v>0.22</v>
      </c>
      <c r="C24" t="s">
        <v>80</v>
      </c>
      <c r="D24" s="8">
        <f>B22*B24</f>
        <v>4.048</v>
      </c>
    </row>
    <row r="25" spans="1:6" x14ac:dyDescent="0.25">
      <c r="A25" s="10" t="s">
        <v>84</v>
      </c>
      <c r="D25" s="8">
        <f>SUM(D23:D24)</f>
        <v>27.967999999999996</v>
      </c>
      <c r="E25">
        <v>27.97</v>
      </c>
    </row>
    <row r="26" spans="1:6" x14ac:dyDescent="0.25">
      <c r="A26" s="10" t="s">
        <v>75</v>
      </c>
      <c r="D26" s="8"/>
    </row>
    <row r="27" spans="1:6" ht="30" x14ac:dyDescent="0.25">
      <c r="A27" s="10" t="s">
        <v>83</v>
      </c>
      <c r="D27" s="8">
        <f>D25*0.1</f>
        <v>2.7967999999999997</v>
      </c>
      <c r="E27">
        <f>E25*0.1</f>
        <v>2.7970000000000002</v>
      </c>
    </row>
    <row r="28" spans="1:6" ht="45" x14ac:dyDescent="0.25">
      <c r="A28" s="10" t="s">
        <v>60</v>
      </c>
      <c r="B28">
        <v>0.13</v>
      </c>
      <c r="C28" t="s">
        <v>101</v>
      </c>
      <c r="D28" s="8">
        <f>D25*0.13</f>
        <v>3.6358399999999995</v>
      </c>
      <c r="E28" s="4">
        <f>E25*0.13</f>
        <v>3.6360999999999999</v>
      </c>
    </row>
    <row r="29" spans="1:6" x14ac:dyDescent="0.25">
      <c r="A29" s="10" t="s">
        <v>55</v>
      </c>
      <c r="D29" s="8">
        <f>SUM(D25:D28)</f>
        <v>34.400639999999996</v>
      </c>
      <c r="E29" s="4">
        <f>SUM(E25:E28)</f>
        <v>34.403100000000002</v>
      </c>
    </row>
    <row r="30" spans="1:6" x14ac:dyDescent="0.25">
      <c r="A30" s="10" t="s">
        <v>61</v>
      </c>
      <c r="D30" s="8">
        <f>D29/4</f>
        <v>8.6001599999999989</v>
      </c>
      <c r="E30" s="8">
        <f>E29/3.4</f>
        <v>10.118558823529412</v>
      </c>
      <c r="F30" s="5" t="s">
        <v>85</v>
      </c>
    </row>
    <row r="31" spans="1:6" x14ac:dyDescent="0.25">
      <c r="A31" s="10"/>
      <c r="D31" s="8"/>
      <c r="E31" s="8">
        <f xml:space="preserve"> E30/4</f>
        <v>2.529639705882353</v>
      </c>
      <c r="F31" s="5" t="s">
        <v>86</v>
      </c>
    </row>
    <row r="32" spans="1:6" x14ac:dyDescent="0.25">
      <c r="A32" s="10"/>
      <c r="B32" s="7"/>
      <c r="D32" s="8"/>
      <c r="E32" s="8"/>
    </row>
    <row r="34" spans="1:6" x14ac:dyDescent="0.25">
      <c r="A34" s="5"/>
      <c r="B34" s="5"/>
      <c r="C34" s="5"/>
      <c r="D34" s="5"/>
    </row>
    <row r="35" spans="1:6" x14ac:dyDescent="0.25">
      <c r="A35" s="38"/>
    </row>
    <row r="36" spans="1:6" x14ac:dyDescent="0.25">
      <c r="A36" s="10"/>
      <c r="B36" s="7"/>
      <c r="D36" s="8"/>
      <c r="E36" s="5"/>
    </row>
    <row r="37" spans="1:6" x14ac:dyDescent="0.25">
      <c r="A37" s="10"/>
      <c r="D37" s="8"/>
    </row>
    <row r="38" spans="1:6" x14ac:dyDescent="0.25">
      <c r="A38" s="10"/>
      <c r="D38" s="8"/>
    </row>
    <row r="39" spans="1:6" x14ac:dyDescent="0.25">
      <c r="A39" s="10"/>
      <c r="D39" s="8"/>
    </row>
    <row r="40" spans="1:6" x14ac:dyDescent="0.25">
      <c r="A40" s="10"/>
      <c r="D40" s="8"/>
      <c r="E40" s="4"/>
    </row>
    <row r="41" spans="1:6" x14ac:dyDescent="0.25">
      <c r="A41" s="10"/>
      <c r="D41" s="8"/>
      <c r="E41" s="4"/>
    </row>
    <row r="42" spans="1:6" x14ac:dyDescent="0.25">
      <c r="A42" s="10"/>
      <c r="D42" s="8"/>
      <c r="E42" s="4"/>
      <c r="F42" s="5"/>
    </row>
    <row r="43" spans="1:6" x14ac:dyDescent="0.25">
      <c r="A43" s="10"/>
      <c r="D43" s="8"/>
      <c r="E43" s="8"/>
      <c r="F43" s="5"/>
    </row>
    <row r="44" spans="1:6" x14ac:dyDescent="0.25">
      <c r="A44" s="10"/>
      <c r="D44" s="8"/>
      <c r="E44" s="8"/>
    </row>
    <row r="45" spans="1:6" x14ac:dyDescent="0.25">
      <c r="A45" s="10"/>
      <c r="B45" s="7"/>
      <c r="D45" s="8"/>
      <c r="E45" s="8"/>
    </row>
    <row r="46" spans="1:6" x14ac:dyDescent="0.25">
      <c r="A46" s="10"/>
      <c r="D46" s="8"/>
      <c r="E46" s="8"/>
    </row>
    <row r="47" spans="1:6" x14ac:dyDescent="0.25">
      <c r="A47" s="10"/>
      <c r="D47" s="8"/>
      <c r="E47" s="8"/>
    </row>
    <row r="48" spans="1:6" x14ac:dyDescent="0.25">
      <c r="A48" s="10"/>
      <c r="D48" s="8"/>
      <c r="E48" s="8"/>
    </row>
    <row r="49" spans="1:5" x14ac:dyDescent="0.25">
      <c r="A49" s="10"/>
      <c r="D49" s="8"/>
      <c r="E49" s="8"/>
    </row>
    <row r="50" spans="1:5" x14ac:dyDescent="0.25">
      <c r="A50" s="5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19" sqref="B19"/>
    </sheetView>
  </sheetViews>
  <sheetFormatPr defaultColWidth="8.85546875" defaultRowHeight="15" x14ac:dyDescent="0.25"/>
  <cols>
    <col min="1" max="2" width="19.140625" customWidth="1"/>
    <col min="3" max="3" width="18.5703125" customWidth="1"/>
    <col min="4" max="4" width="15.5703125" customWidth="1"/>
    <col min="5" max="5" width="11.5703125" customWidth="1"/>
    <col min="6" max="6" width="12.140625" customWidth="1"/>
    <col min="7" max="7" width="10.85546875" customWidth="1"/>
    <col min="8" max="8" width="11.42578125" customWidth="1"/>
    <col min="9" max="9" width="11.5703125" customWidth="1"/>
    <col min="10" max="10" width="11.140625" customWidth="1"/>
    <col min="11" max="11" width="12" customWidth="1"/>
    <col min="12" max="12" width="11.85546875" customWidth="1"/>
    <col min="13" max="13" width="11.42578125" customWidth="1"/>
  </cols>
  <sheetData>
    <row r="1" spans="1:13" ht="14.25" x14ac:dyDescent="0.45">
      <c r="E1" s="5"/>
      <c r="F1" s="5"/>
      <c r="G1" s="5"/>
      <c r="H1" s="5"/>
      <c r="I1" s="13"/>
      <c r="J1" s="13"/>
      <c r="K1" s="5"/>
      <c r="L1" s="5"/>
      <c r="M1" s="5"/>
    </row>
    <row r="2" spans="1:13" ht="14.25" x14ac:dyDescent="0.45">
      <c r="A2" s="5"/>
      <c r="B2" s="5"/>
      <c r="C2" s="5"/>
      <c r="D2" s="5"/>
    </row>
    <row r="3" spans="1:13" ht="14.25" x14ac:dyDescent="0.45">
      <c r="A3" s="10"/>
      <c r="B3" s="10"/>
      <c r="C3" s="15"/>
      <c r="D3" s="16"/>
      <c r="F3" s="9"/>
      <c r="H3" s="16"/>
      <c r="I3" s="16"/>
      <c r="J3" s="9"/>
      <c r="K3" s="9"/>
      <c r="L3" s="9"/>
      <c r="M3" s="9"/>
    </row>
    <row r="4" spans="1:13" ht="14.25" x14ac:dyDescent="0.45">
      <c r="A4" s="5"/>
      <c r="B4" s="5"/>
      <c r="C4" s="14"/>
      <c r="D4" s="30"/>
      <c r="F4" s="8"/>
      <c r="H4" s="8"/>
      <c r="I4" s="8"/>
      <c r="J4" s="8"/>
      <c r="L4" s="8"/>
      <c r="M4" s="8"/>
    </row>
    <row r="5" spans="1:13" ht="14.25" x14ac:dyDescent="0.45">
      <c r="A5" s="5"/>
      <c r="B5" s="5"/>
      <c r="C5" s="15"/>
      <c r="D5" s="8"/>
      <c r="F5" s="1"/>
      <c r="H5" s="8"/>
      <c r="I5" s="9"/>
      <c r="J5" s="1"/>
      <c r="K5" s="9"/>
      <c r="L5" s="1"/>
      <c r="M5" s="1"/>
    </row>
    <row r="6" spans="1:13" ht="14.25" x14ac:dyDescent="0.45">
      <c r="A6" s="17"/>
      <c r="B6" s="17"/>
      <c r="C6" s="8"/>
      <c r="D6" s="8"/>
      <c r="F6" s="8"/>
      <c r="H6" s="8"/>
      <c r="I6" s="8"/>
      <c r="J6" s="8"/>
      <c r="K6" s="8"/>
      <c r="L6" s="8"/>
      <c r="M6" s="8"/>
    </row>
    <row r="7" spans="1:13" ht="14.25" x14ac:dyDescent="0.45">
      <c r="A7" s="5"/>
      <c r="B7" s="5"/>
      <c r="C7" s="5"/>
      <c r="H7" s="8"/>
      <c r="I7" s="9"/>
      <c r="J7" s="8"/>
      <c r="L7" s="18"/>
      <c r="M7" s="18"/>
    </row>
    <row r="8" spans="1:13" ht="14.25" x14ac:dyDescent="0.45">
      <c r="A8" s="5"/>
      <c r="B8" s="5"/>
      <c r="C8" s="5"/>
      <c r="H8" s="8"/>
      <c r="I8" s="9"/>
      <c r="J8" s="8"/>
      <c r="L8" s="18"/>
      <c r="M8" s="18"/>
    </row>
    <row r="9" spans="1:13" ht="14.25" x14ac:dyDescent="0.45">
      <c r="A9" s="5"/>
      <c r="B9" s="5"/>
      <c r="C9" s="5"/>
      <c r="E9" s="5"/>
      <c r="F9" s="5"/>
      <c r="H9" s="8"/>
      <c r="I9" s="9"/>
      <c r="J9" s="8"/>
      <c r="L9" s="18"/>
      <c r="M9" s="18"/>
    </row>
    <row r="10" spans="1:13" ht="14.25" x14ac:dyDescent="0.45">
      <c r="A10" s="5"/>
      <c r="B10" s="31"/>
      <c r="C10" s="5"/>
      <c r="E10" s="31"/>
      <c r="F10" s="31"/>
      <c r="H10" s="8"/>
      <c r="I10" s="9"/>
      <c r="J10" s="8"/>
      <c r="L10" s="18"/>
      <c r="M10" s="18"/>
    </row>
    <row r="11" spans="1:13" ht="14.25" x14ac:dyDescent="0.45">
      <c r="A11" s="10"/>
      <c r="B11" s="5"/>
      <c r="C11" s="5"/>
      <c r="E11" s="5"/>
      <c r="F11" s="5"/>
      <c r="H11" s="8"/>
      <c r="I11" s="9"/>
      <c r="J11" s="8"/>
      <c r="L11" s="18"/>
      <c r="M11" s="18"/>
    </row>
    <row r="12" spans="1:13" ht="14.25" x14ac:dyDescent="0.45">
      <c r="A12" s="10"/>
      <c r="B12" s="5"/>
      <c r="C12" s="5"/>
      <c r="D12" s="8"/>
      <c r="E12" s="8"/>
      <c r="F12" s="8"/>
      <c r="H12" s="8"/>
      <c r="I12" s="9"/>
      <c r="J12" s="8"/>
      <c r="L12" s="18"/>
      <c r="M12" s="18"/>
    </row>
    <row r="13" spans="1:13" ht="14.25" x14ac:dyDescent="0.45">
      <c r="A13" s="10"/>
      <c r="B13" s="5"/>
      <c r="C13" s="5"/>
      <c r="D13" s="8"/>
      <c r="H13" s="8"/>
      <c r="I13" s="9"/>
      <c r="J13" s="8"/>
      <c r="L13" s="18"/>
      <c r="M13" s="18"/>
    </row>
    <row r="14" spans="1:13" x14ac:dyDescent="0.25">
      <c r="A14" s="10"/>
      <c r="B14" s="5"/>
      <c r="C14" s="5"/>
      <c r="D14" s="8"/>
      <c r="H14" s="8"/>
      <c r="I14" s="9"/>
      <c r="J14" s="8"/>
      <c r="L14" s="18"/>
      <c r="M14" s="18"/>
    </row>
    <row r="15" spans="1:13" x14ac:dyDescent="0.25">
      <c r="A15" s="10"/>
      <c r="B15" s="5"/>
      <c r="C15" s="5"/>
      <c r="D15" s="8"/>
      <c r="H15" s="8"/>
      <c r="I15" s="9"/>
      <c r="J15" s="8"/>
      <c r="L15" s="18"/>
      <c r="M15" s="18"/>
    </row>
    <row r="16" spans="1:13" x14ac:dyDescent="0.25">
      <c r="A16" s="10"/>
      <c r="B16" s="5"/>
      <c r="C16" s="5"/>
      <c r="D16" s="8"/>
      <c r="H16" s="8"/>
      <c r="I16" s="9"/>
      <c r="J16" s="8"/>
      <c r="L16" s="18"/>
      <c r="M16" s="18"/>
    </row>
    <row r="17" spans="1:13" x14ac:dyDescent="0.25">
      <c r="A17" s="10"/>
      <c r="B17" s="28"/>
      <c r="C17" s="5"/>
      <c r="D17" s="8"/>
      <c r="H17" s="8"/>
      <c r="I17" s="9"/>
      <c r="J17" s="8"/>
      <c r="L17" s="18"/>
      <c r="M17" s="18"/>
    </row>
    <row r="18" spans="1:13" x14ac:dyDescent="0.25">
      <c r="A18" s="10"/>
      <c r="B18" s="43"/>
      <c r="C18" s="5"/>
      <c r="D18" s="8"/>
      <c r="H18" s="8"/>
      <c r="I18" s="9"/>
      <c r="J18" s="8"/>
      <c r="L18" s="18"/>
      <c r="M18" s="18"/>
    </row>
    <row r="19" spans="1:13" x14ac:dyDescent="0.25">
      <c r="A19" s="10"/>
      <c r="B19" s="28"/>
      <c r="C19" s="5"/>
      <c r="D19" s="8"/>
      <c r="H19" s="8"/>
      <c r="I19" s="9"/>
      <c r="J19" s="8"/>
      <c r="L19" s="18"/>
      <c r="M19" s="18"/>
    </row>
    <row r="20" spans="1:13" x14ac:dyDescent="0.25">
      <c r="A20" s="10"/>
      <c r="B20" s="10"/>
      <c r="C20" s="14"/>
      <c r="D20" s="8"/>
      <c r="F20" s="8"/>
      <c r="H20" s="8"/>
      <c r="I20" s="9"/>
      <c r="J20" s="8"/>
      <c r="L20" s="18"/>
      <c r="M20" s="18"/>
    </row>
    <row r="21" spans="1:13" x14ac:dyDescent="0.25">
      <c r="A21" s="10"/>
      <c r="B21" s="28"/>
      <c r="C21" s="14"/>
      <c r="D21" s="8"/>
      <c r="F21" s="8"/>
      <c r="H21" s="8"/>
      <c r="I21" s="9"/>
      <c r="J21" s="8"/>
      <c r="L21" s="18"/>
      <c r="M21" s="18"/>
    </row>
    <row r="22" spans="1:13" x14ac:dyDescent="0.25">
      <c r="A22" s="10"/>
      <c r="B22" s="33"/>
      <c r="C22" s="14"/>
      <c r="D22" s="8"/>
      <c r="F22" s="8"/>
      <c r="H22" s="8"/>
      <c r="I22" s="9"/>
      <c r="J22" s="8"/>
      <c r="L22" s="18"/>
      <c r="M22" s="18"/>
    </row>
    <row r="23" spans="1:13" x14ac:dyDescent="0.25">
      <c r="A23" s="10"/>
      <c r="B23" s="32"/>
      <c r="C23" s="14"/>
      <c r="D23" s="8"/>
      <c r="H23" s="8"/>
      <c r="I23" s="9"/>
      <c r="J23" s="8"/>
      <c r="L23" s="18"/>
      <c r="M23" s="18"/>
    </row>
    <row r="24" spans="1:13" x14ac:dyDescent="0.25">
      <c r="A24" s="10"/>
      <c r="B24" s="28"/>
      <c r="C24" s="14"/>
      <c r="D24" s="44"/>
      <c r="F24" s="8"/>
      <c r="H24" s="8"/>
      <c r="I24" s="9"/>
      <c r="J24" s="8"/>
      <c r="L24" s="18"/>
      <c r="M24" s="18"/>
    </row>
    <row r="25" spans="1:13" x14ac:dyDescent="0.25">
      <c r="A25" s="10"/>
      <c r="B25" s="28"/>
      <c r="C25" s="14"/>
      <c r="D25" s="8"/>
      <c r="H25" s="8"/>
      <c r="I25" s="9"/>
      <c r="J25" s="8"/>
      <c r="L25" s="18"/>
      <c r="M25" s="18"/>
    </row>
    <row r="26" spans="1:13" x14ac:dyDescent="0.25">
      <c r="A26" s="10"/>
      <c r="B26" s="5"/>
      <c r="C26" s="14"/>
      <c r="D26" s="8"/>
      <c r="F26" s="8"/>
      <c r="H26" s="8"/>
      <c r="I26" s="9"/>
      <c r="J26" s="8"/>
      <c r="L26" s="18"/>
      <c r="M26" s="18"/>
    </row>
    <row r="27" spans="1:13" x14ac:dyDescent="0.25">
      <c r="A27" s="5"/>
      <c r="B27" s="5"/>
      <c r="C27" s="19"/>
      <c r="D27" s="34"/>
      <c r="E27" s="8"/>
      <c r="F27" s="34"/>
      <c r="H27" s="18"/>
      <c r="I27" s="18"/>
      <c r="J27" s="18"/>
      <c r="K27" s="20"/>
      <c r="L27" s="20"/>
      <c r="M27" s="18"/>
    </row>
    <row r="28" spans="1:13" x14ac:dyDescent="0.25">
      <c r="A28" s="5"/>
      <c r="B28" s="5"/>
      <c r="D28" s="6"/>
      <c r="E28" s="8"/>
      <c r="F28" s="8"/>
      <c r="H28" s="21"/>
      <c r="I28" s="21"/>
      <c r="L28" s="22"/>
    </row>
    <row r="29" spans="1:13" x14ac:dyDescent="0.25">
      <c r="D29" s="6"/>
      <c r="E29" s="8"/>
      <c r="F29" s="8"/>
      <c r="M29" s="8"/>
    </row>
    <row r="30" spans="1:13" x14ac:dyDescent="0.25">
      <c r="C30" s="5"/>
      <c r="D30" s="35"/>
      <c r="E30" s="35"/>
      <c r="F30" s="35"/>
    </row>
    <row r="31" spans="1:13" x14ac:dyDescent="0.25">
      <c r="A31" s="5"/>
      <c r="B31" s="5"/>
      <c r="D31" s="36"/>
      <c r="E31" s="37"/>
      <c r="F31" s="36"/>
      <c r="M31" s="18"/>
    </row>
    <row r="32" spans="1:13" x14ac:dyDescent="0.25">
      <c r="E32" s="20"/>
    </row>
    <row r="35" spans="1:5" x14ac:dyDescent="0.25">
      <c r="A35" s="23"/>
      <c r="B35" s="23"/>
    </row>
    <row r="36" spans="1:5" x14ac:dyDescent="0.25">
      <c r="C36" s="17"/>
      <c r="D36" s="24"/>
      <c r="E36" s="24"/>
    </row>
    <row r="37" spans="1:5" x14ac:dyDescent="0.25">
      <c r="A37" s="17"/>
      <c r="B37" s="17"/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46" workbookViewId="0">
      <selection activeCell="N70" sqref="N70"/>
    </sheetView>
  </sheetViews>
  <sheetFormatPr defaultColWidth="8.85546875" defaultRowHeight="15" x14ac:dyDescent="0.25"/>
  <cols>
    <col min="1" max="1" width="15" customWidth="1"/>
    <col min="2" max="2" width="12.5703125" customWidth="1"/>
    <col min="3" max="3" width="10.7109375" customWidth="1"/>
    <col min="4" max="4" width="13.7109375" customWidth="1"/>
    <col min="6" max="6" width="8.7109375" customWidth="1"/>
    <col min="7" max="8" width="8.85546875" hidden="1" customWidth="1"/>
  </cols>
  <sheetData>
    <row r="1" spans="1:16" ht="14.25" x14ac:dyDescent="0.45">
      <c r="A1" s="25" t="s">
        <v>50</v>
      </c>
      <c r="B1" s="25" t="s">
        <v>51</v>
      </c>
      <c r="C1" s="25" t="s">
        <v>52</v>
      </c>
      <c r="D1" s="25" t="s">
        <v>53</v>
      </c>
      <c r="E1" s="26"/>
      <c r="F1" s="25" t="s">
        <v>130</v>
      </c>
      <c r="N1" s="25" t="s">
        <v>131</v>
      </c>
    </row>
    <row r="2" spans="1:16" ht="28.5" x14ac:dyDescent="0.45">
      <c r="A2" s="48" t="s">
        <v>56</v>
      </c>
      <c r="B2">
        <v>13.95</v>
      </c>
      <c r="L2" t="s">
        <v>116</v>
      </c>
    </row>
    <row r="3" spans="1:16" ht="28.5" x14ac:dyDescent="0.45">
      <c r="A3" s="10" t="s">
        <v>62</v>
      </c>
      <c r="B3">
        <v>1.1000000000000001</v>
      </c>
      <c r="C3" t="s">
        <v>118</v>
      </c>
      <c r="D3" s="8">
        <f>B2*B3</f>
        <v>15.345000000000001</v>
      </c>
      <c r="L3" t="s">
        <v>132</v>
      </c>
    </row>
    <row r="4" spans="1:16" ht="28.5" x14ac:dyDescent="0.45">
      <c r="A4" s="10" t="s">
        <v>58</v>
      </c>
      <c r="B4">
        <v>0.2</v>
      </c>
      <c r="C4" t="s">
        <v>57</v>
      </c>
      <c r="D4" s="8">
        <f>B2*B4</f>
        <v>2.79</v>
      </c>
      <c r="L4" t="s">
        <v>133</v>
      </c>
    </row>
    <row r="5" spans="1:16" ht="14.25" x14ac:dyDescent="0.45">
      <c r="A5" s="5" t="s">
        <v>54</v>
      </c>
      <c r="D5" s="8">
        <f>SUM(D3:D4)</f>
        <v>18.135000000000002</v>
      </c>
    </row>
    <row r="6" spans="1:16" ht="28.5" x14ac:dyDescent="0.45">
      <c r="A6" s="10" t="s">
        <v>59</v>
      </c>
      <c r="B6">
        <v>0.17</v>
      </c>
      <c r="C6" t="s">
        <v>119</v>
      </c>
      <c r="D6" s="8">
        <f>D5*B6</f>
        <v>3.0829500000000003</v>
      </c>
      <c r="L6" s="47" t="s">
        <v>117</v>
      </c>
      <c r="M6" s="47"/>
      <c r="N6" s="47"/>
      <c r="O6" s="47"/>
      <c r="P6" s="47"/>
    </row>
    <row r="7" spans="1:16" ht="42.75" x14ac:dyDescent="0.45">
      <c r="A7" s="10" t="s">
        <v>60</v>
      </c>
      <c r="B7">
        <v>0.13</v>
      </c>
      <c r="C7" t="s">
        <v>120</v>
      </c>
      <c r="D7" s="8">
        <f>D5*B7</f>
        <v>2.3575500000000003</v>
      </c>
    </row>
    <row r="8" spans="1:16" ht="14.25" x14ac:dyDescent="0.45">
      <c r="A8" s="5" t="s">
        <v>55</v>
      </c>
      <c r="D8" s="8">
        <f>SUM(D5:D7)</f>
        <v>23.575500000000002</v>
      </c>
    </row>
    <row r="9" spans="1:16" ht="14.25" x14ac:dyDescent="0.45">
      <c r="A9" s="5" t="s">
        <v>61</v>
      </c>
      <c r="D9" s="6">
        <f>D8/4</f>
        <v>5.8938750000000004</v>
      </c>
      <c r="E9" s="45"/>
    </row>
    <row r="11" spans="1:16" ht="14.25" x14ac:dyDescent="0.45">
      <c r="A11" s="27" t="s">
        <v>50</v>
      </c>
      <c r="B11" s="25" t="s">
        <v>51</v>
      </c>
      <c r="C11" s="25" t="s">
        <v>52</v>
      </c>
      <c r="D11" s="25" t="s">
        <v>53</v>
      </c>
    </row>
    <row r="12" spans="1:16" ht="28.5" x14ac:dyDescent="0.45">
      <c r="A12" s="48" t="s">
        <v>63</v>
      </c>
      <c r="B12">
        <v>12.85</v>
      </c>
    </row>
    <row r="13" spans="1:16" ht="28.5" x14ac:dyDescent="0.45">
      <c r="A13" s="10" t="s">
        <v>62</v>
      </c>
      <c r="B13">
        <v>1.08</v>
      </c>
      <c r="C13" t="s">
        <v>121</v>
      </c>
      <c r="D13" s="8">
        <f>B13*B12</f>
        <v>13.878</v>
      </c>
    </row>
    <row r="14" spans="1:16" ht="28.5" x14ac:dyDescent="0.45">
      <c r="A14" s="10" t="s">
        <v>58</v>
      </c>
      <c r="B14">
        <v>0.2</v>
      </c>
      <c r="C14" t="s">
        <v>122</v>
      </c>
      <c r="D14" s="8">
        <f>B12*B14</f>
        <v>2.5700000000000003</v>
      </c>
    </row>
    <row r="15" spans="1:16" ht="14.25" x14ac:dyDescent="0.45">
      <c r="A15" s="10"/>
      <c r="D15" s="8"/>
    </row>
    <row r="16" spans="1:16" ht="14.25" x14ac:dyDescent="0.45">
      <c r="A16" s="10" t="s">
        <v>54</v>
      </c>
      <c r="D16" s="8">
        <f>SUM(D13:D15)</f>
        <v>16.448</v>
      </c>
    </row>
    <row r="17" spans="1:4" ht="28.5" x14ac:dyDescent="0.45">
      <c r="A17" s="10" t="s">
        <v>59</v>
      </c>
      <c r="B17">
        <v>0.13</v>
      </c>
      <c r="C17" t="s">
        <v>123</v>
      </c>
      <c r="D17" s="8">
        <f>D16*B17</f>
        <v>2.1382400000000001</v>
      </c>
    </row>
    <row r="18" spans="1:4" ht="42.75" x14ac:dyDescent="0.45">
      <c r="A18" s="10" t="s">
        <v>60</v>
      </c>
      <c r="B18">
        <v>0.13</v>
      </c>
      <c r="C18" t="s">
        <v>123</v>
      </c>
      <c r="D18" s="8">
        <f>D16*B18</f>
        <v>2.1382400000000001</v>
      </c>
    </row>
    <row r="19" spans="1:4" ht="14.25" x14ac:dyDescent="0.45">
      <c r="A19" s="10" t="s">
        <v>55</v>
      </c>
      <c r="D19" s="8">
        <f>SUM(D16:D18)</f>
        <v>20.72448</v>
      </c>
    </row>
    <row r="20" spans="1:4" ht="14.25" x14ac:dyDescent="0.45">
      <c r="A20" s="10" t="s">
        <v>61</v>
      </c>
      <c r="D20" s="8">
        <f>D19/4</f>
        <v>5.1811199999999999</v>
      </c>
    </row>
    <row r="22" spans="1:4" ht="14.25" x14ac:dyDescent="0.45">
      <c r="A22" s="27" t="s">
        <v>50</v>
      </c>
      <c r="B22" s="25" t="s">
        <v>51</v>
      </c>
      <c r="C22" s="25" t="s">
        <v>52</v>
      </c>
      <c r="D22" s="25" t="s">
        <v>53</v>
      </c>
    </row>
    <row r="23" spans="1:4" ht="28.5" x14ac:dyDescent="0.45">
      <c r="A23" s="48" t="s">
        <v>64</v>
      </c>
      <c r="B23">
        <v>13.95</v>
      </c>
    </row>
    <row r="24" spans="1:4" ht="28.5" x14ac:dyDescent="0.45">
      <c r="A24" s="10" t="s">
        <v>62</v>
      </c>
      <c r="B24">
        <v>1.1000000000000001</v>
      </c>
      <c r="C24" t="s">
        <v>118</v>
      </c>
      <c r="D24" s="8">
        <f>B24*B23</f>
        <v>15.345000000000001</v>
      </c>
    </row>
    <row r="25" spans="1:4" ht="28.5" x14ac:dyDescent="0.45">
      <c r="A25" s="10" t="s">
        <v>58</v>
      </c>
      <c r="B25">
        <v>0.2</v>
      </c>
      <c r="C25" t="s">
        <v>57</v>
      </c>
      <c r="D25" s="8">
        <f>B23*B25</f>
        <v>2.79</v>
      </c>
    </row>
    <row r="26" spans="1:4" ht="14.25" x14ac:dyDescent="0.45">
      <c r="A26" s="10"/>
      <c r="D26" s="8"/>
    </row>
    <row r="27" spans="1:4" ht="14.25" x14ac:dyDescent="0.45">
      <c r="A27" s="10" t="s">
        <v>54</v>
      </c>
      <c r="D27" s="8">
        <f>SUM(D24:D26)</f>
        <v>18.135000000000002</v>
      </c>
    </row>
    <row r="28" spans="1:4" ht="28.5" x14ac:dyDescent="0.45">
      <c r="A28" s="10" t="s">
        <v>59</v>
      </c>
      <c r="B28">
        <v>0.2</v>
      </c>
      <c r="C28" t="s">
        <v>124</v>
      </c>
      <c r="D28" s="8">
        <f>D27*B28</f>
        <v>3.6270000000000007</v>
      </c>
    </row>
    <row r="29" spans="1:4" ht="42.75" x14ac:dyDescent="0.45">
      <c r="A29" s="10" t="s">
        <v>60</v>
      </c>
      <c r="B29">
        <v>0.13</v>
      </c>
      <c r="C29" t="s">
        <v>120</v>
      </c>
      <c r="D29" s="8">
        <f>D27*B29</f>
        <v>2.3575500000000003</v>
      </c>
    </row>
    <row r="30" spans="1:4" ht="14.25" x14ac:dyDescent="0.45">
      <c r="A30" s="10" t="s">
        <v>55</v>
      </c>
      <c r="D30" s="8">
        <f>SUM(D27:D29)</f>
        <v>24.11955</v>
      </c>
    </row>
    <row r="31" spans="1:4" ht="14.25" x14ac:dyDescent="0.45">
      <c r="A31" s="10" t="s">
        <v>61</v>
      </c>
      <c r="D31" s="8">
        <f>D30/4</f>
        <v>6.0298875000000001</v>
      </c>
    </row>
    <row r="32" spans="1:4" ht="14.25" x14ac:dyDescent="0.45">
      <c r="A32" s="10"/>
      <c r="D32" s="8"/>
    </row>
    <row r="33" spans="1:5" ht="14.25" x14ac:dyDescent="0.45">
      <c r="A33" s="27" t="s">
        <v>50</v>
      </c>
      <c r="B33" s="25" t="s">
        <v>51</v>
      </c>
      <c r="C33" s="25" t="s">
        <v>52</v>
      </c>
      <c r="D33" s="29" t="s">
        <v>53</v>
      </c>
    </row>
    <row r="34" spans="1:5" ht="42.75" x14ac:dyDescent="0.45">
      <c r="A34" s="48" t="s">
        <v>65</v>
      </c>
      <c r="B34">
        <v>13.95</v>
      </c>
    </row>
    <row r="35" spans="1:5" ht="28.5" x14ac:dyDescent="0.45">
      <c r="A35" s="10" t="s">
        <v>62</v>
      </c>
      <c r="B35">
        <v>1.1000000000000001</v>
      </c>
      <c r="C35" t="s">
        <v>118</v>
      </c>
      <c r="D35" s="8">
        <f>B35*B34</f>
        <v>15.345000000000001</v>
      </c>
    </row>
    <row r="36" spans="1:5" ht="28.5" x14ac:dyDescent="0.45">
      <c r="A36" s="10" t="s">
        <v>58</v>
      </c>
      <c r="B36">
        <v>0.2</v>
      </c>
      <c r="C36" t="s">
        <v>57</v>
      </c>
      <c r="D36" s="8">
        <f>B34*B36</f>
        <v>2.79</v>
      </c>
    </row>
    <row r="37" spans="1:5" ht="14.25" x14ac:dyDescent="0.45">
      <c r="A37" s="10"/>
      <c r="D37" s="8"/>
    </row>
    <row r="38" spans="1:5" ht="14.25" x14ac:dyDescent="0.45">
      <c r="A38" s="10" t="s">
        <v>54</v>
      </c>
      <c r="D38" s="8">
        <f>SUM(D35:D37)</f>
        <v>18.135000000000002</v>
      </c>
    </row>
    <row r="39" spans="1:5" ht="28.5" x14ac:dyDescent="0.45">
      <c r="A39" s="10" t="s">
        <v>59</v>
      </c>
      <c r="B39">
        <v>0.2</v>
      </c>
      <c r="C39" t="s">
        <v>124</v>
      </c>
      <c r="D39" s="8">
        <f>D38*B39</f>
        <v>3.6270000000000007</v>
      </c>
    </row>
    <row r="40" spans="1:5" ht="14.25" x14ac:dyDescent="0.45">
      <c r="A40" s="10" t="s">
        <v>66</v>
      </c>
      <c r="D40" s="8">
        <v>3.2</v>
      </c>
      <c r="E40" t="s">
        <v>125</v>
      </c>
    </row>
    <row r="41" spans="1:5" ht="42.75" x14ac:dyDescent="0.45">
      <c r="A41" s="10" t="s">
        <v>60</v>
      </c>
      <c r="B41">
        <v>0.13</v>
      </c>
      <c r="C41" t="s">
        <v>120</v>
      </c>
      <c r="D41" s="8">
        <f>D38*B41</f>
        <v>2.3575500000000003</v>
      </c>
    </row>
    <row r="42" spans="1:5" ht="14.25" x14ac:dyDescent="0.45">
      <c r="A42" s="10" t="s">
        <v>55</v>
      </c>
      <c r="D42" s="8">
        <f>SUM(D38:D41)</f>
        <v>27.31955</v>
      </c>
    </row>
    <row r="43" spans="1:5" ht="14.25" x14ac:dyDescent="0.45">
      <c r="A43" s="10" t="s">
        <v>61</v>
      </c>
      <c r="D43" s="8">
        <f>D42/4</f>
        <v>6.8298874999999999</v>
      </c>
    </row>
    <row r="45" spans="1:5" ht="14.25" x14ac:dyDescent="0.45">
      <c r="A45" s="27" t="s">
        <v>50</v>
      </c>
      <c r="B45" s="25" t="s">
        <v>51</v>
      </c>
      <c r="C45" s="25" t="s">
        <v>52</v>
      </c>
      <c r="D45" s="25" t="s">
        <v>53</v>
      </c>
    </row>
    <row r="46" spans="1:5" ht="28.5" x14ac:dyDescent="0.45">
      <c r="A46" s="48" t="s">
        <v>109</v>
      </c>
      <c r="B46">
        <v>14.8</v>
      </c>
      <c r="E46" t="s">
        <v>110</v>
      </c>
    </row>
    <row r="47" spans="1:5" ht="28.5" x14ac:dyDescent="0.45">
      <c r="A47" s="10" t="s">
        <v>62</v>
      </c>
      <c r="B47">
        <v>1.17</v>
      </c>
      <c r="C47" t="s">
        <v>126</v>
      </c>
      <c r="D47" s="30">
        <f>B47*B46</f>
        <v>17.315999999999999</v>
      </c>
    </row>
    <row r="48" spans="1:5" ht="28.5" x14ac:dyDescent="0.45">
      <c r="A48" s="10" t="s">
        <v>58</v>
      </c>
      <c r="B48">
        <v>0.22</v>
      </c>
      <c r="C48" t="s">
        <v>113</v>
      </c>
      <c r="D48" s="30">
        <f>B46*B48</f>
        <v>3.2560000000000002</v>
      </c>
    </row>
    <row r="49" spans="1:15" ht="14.25" x14ac:dyDescent="0.45">
      <c r="A49" s="10"/>
      <c r="D49" s="30"/>
    </row>
    <row r="50" spans="1:15" ht="14.25" x14ac:dyDescent="0.45">
      <c r="A50" s="10" t="s">
        <v>54</v>
      </c>
      <c r="D50" s="30">
        <f>SUM(D47:D49)</f>
        <v>20.571999999999999</v>
      </c>
    </row>
    <row r="51" spans="1:15" ht="28.5" x14ac:dyDescent="0.45">
      <c r="A51" s="10" t="s">
        <v>59</v>
      </c>
      <c r="B51">
        <v>0.18</v>
      </c>
      <c r="C51" t="s">
        <v>127</v>
      </c>
      <c r="D51" s="30">
        <f>D50*B51</f>
        <v>3.7029599999999996</v>
      </c>
    </row>
    <row r="52" spans="1:15" ht="42.75" x14ac:dyDescent="0.45">
      <c r="A52" s="10" t="s">
        <v>60</v>
      </c>
      <c r="B52">
        <v>0.13</v>
      </c>
      <c r="C52" t="s">
        <v>128</v>
      </c>
      <c r="D52" s="30">
        <f>D50*B52</f>
        <v>2.6743600000000001</v>
      </c>
      <c r="E52" s="5" t="s">
        <v>88</v>
      </c>
    </row>
    <row r="53" spans="1:15" ht="14.25" x14ac:dyDescent="0.45">
      <c r="A53" s="10" t="s">
        <v>55</v>
      </c>
      <c r="D53" s="30">
        <f>SUM(D50:D52)</f>
        <v>26.94932</v>
      </c>
      <c r="E53" s="8">
        <f>D53*((1+(0.15*3)))/3</f>
        <v>13.025504666666665</v>
      </c>
    </row>
    <row r="54" spans="1:15" x14ac:dyDescent="0.25">
      <c r="A54" s="10" t="s">
        <v>61</v>
      </c>
      <c r="D54" s="30">
        <f>D53/4</f>
        <v>6.73733</v>
      </c>
      <c r="E54" s="8"/>
    </row>
    <row r="55" spans="1:15" x14ac:dyDescent="0.25">
      <c r="A55" s="10"/>
      <c r="B55" t="s">
        <v>67</v>
      </c>
      <c r="D55" s="30"/>
      <c r="E55" s="8">
        <f>E53/4</f>
        <v>3.2563761666666662</v>
      </c>
    </row>
    <row r="57" spans="1:15" x14ac:dyDescent="0.25">
      <c r="A57" s="27" t="s">
        <v>50</v>
      </c>
      <c r="B57" s="25" t="s">
        <v>51</v>
      </c>
      <c r="C57" s="25" t="s">
        <v>52</v>
      </c>
      <c r="D57" s="25" t="s">
        <v>53</v>
      </c>
    </row>
    <row r="58" spans="1:15" ht="30" x14ac:dyDescent="0.25">
      <c r="A58" s="49" t="s">
        <v>115</v>
      </c>
      <c r="B58" s="50">
        <v>22.25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30" x14ac:dyDescent="0.25">
      <c r="A59" s="10" t="s">
        <v>62</v>
      </c>
      <c r="B59">
        <v>1.48</v>
      </c>
      <c r="C59" t="s">
        <v>137</v>
      </c>
      <c r="D59" s="8">
        <f>B59*B58</f>
        <v>32.93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30" x14ac:dyDescent="0.25">
      <c r="A60" s="10" t="s">
        <v>58</v>
      </c>
      <c r="B60">
        <v>0.22</v>
      </c>
      <c r="C60" t="s">
        <v>138</v>
      </c>
      <c r="D60" s="8">
        <f>B58*B60</f>
        <v>4.8950000000000005</v>
      </c>
    </row>
    <row r="61" spans="1:15" x14ac:dyDescent="0.25">
      <c r="A61" s="10"/>
      <c r="D61" s="8"/>
      <c r="J61" s="4"/>
    </row>
    <row r="62" spans="1:15" x14ac:dyDescent="0.25">
      <c r="A62" s="10" t="s">
        <v>54</v>
      </c>
      <c r="D62" s="8">
        <f>SUM(D59:D61)</f>
        <v>37.825000000000003</v>
      </c>
    </row>
    <row r="63" spans="1:15" ht="30" x14ac:dyDescent="0.25">
      <c r="A63" s="10" t="s">
        <v>59</v>
      </c>
      <c r="B63">
        <v>0.17</v>
      </c>
      <c r="C63" t="s">
        <v>139</v>
      </c>
      <c r="D63" s="8">
        <f>D62*B63</f>
        <v>6.4302500000000009</v>
      </c>
    </row>
    <row r="64" spans="1:15" ht="45" x14ac:dyDescent="0.25">
      <c r="A64" s="10" t="s">
        <v>60</v>
      </c>
      <c r="B64">
        <v>0.13</v>
      </c>
      <c r="C64" t="s">
        <v>140</v>
      </c>
      <c r="D64" s="8">
        <f>D62*B64</f>
        <v>4.9172500000000001</v>
      </c>
    </row>
    <row r="65" spans="1:9" x14ac:dyDescent="0.25">
      <c r="A65" s="10" t="s">
        <v>55</v>
      </c>
      <c r="D65" s="8">
        <f>SUM(D62:D64)</f>
        <v>49.172500000000007</v>
      </c>
    </row>
    <row r="66" spans="1:9" x14ac:dyDescent="0.25">
      <c r="A66" s="10" t="s">
        <v>61</v>
      </c>
      <c r="D66" s="8">
        <f>D65/4</f>
        <v>12.293125000000002</v>
      </c>
    </row>
    <row r="68" spans="1:9" x14ac:dyDescent="0.25">
      <c r="A68" s="27" t="s">
        <v>50</v>
      </c>
      <c r="B68" s="25" t="s">
        <v>51</v>
      </c>
      <c r="C68" s="25" t="s">
        <v>52</v>
      </c>
      <c r="D68" s="25" t="s">
        <v>53</v>
      </c>
    </row>
    <row r="69" spans="1:9" ht="45" x14ac:dyDescent="0.25">
      <c r="A69" s="48" t="s">
        <v>68</v>
      </c>
      <c r="B69">
        <v>15.5</v>
      </c>
      <c r="D69" s="12">
        <v>4.2361111111111106E-2</v>
      </c>
      <c r="E69" t="s">
        <v>107</v>
      </c>
    </row>
    <row r="70" spans="1:9" ht="30" x14ac:dyDescent="0.25">
      <c r="A70" s="10" t="s">
        <v>62</v>
      </c>
      <c r="B70">
        <v>1.3</v>
      </c>
      <c r="C70" t="s">
        <v>134</v>
      </c>
      <c r="D70" s="8">
        <f>B70*B69</f>
        <v>20.150000000000002</v>
      </c>
      <c r="E70" s="8">
        <v>20.150000000000002</v>
      </c>
    </row>
    <row r="71" spans="1:9" ht="30" x14ac:dyDescent="0.25">
      <c r="A71" s="10" t="s">
        <v>58</v>
      </c>
      <c r="B71">
        <v>0.2</v>
      </c>
      <c r="C71" t="s">
        <v>135</v>
      </c>
      <c r="D71" s="8">
        <f>B69*B71</f>
        <v>3.1</v>
      </c>
      <c r="E71" s="8">
        <v>3.1</v>
      </c>
    </row>
    <row r="72" spans="1:9" x14ac:dyDescent="0.25">
      <c r="A72" s="10"/>
      <c r="D72" s="8"/>
      <c r="E72" s="8"/>
    </row>
    <row r="73" spans="1:9" x14ac:dyDescent="0.25">
      <c r="A73" s="10" t="s">
        <v>54</v>
      </c>
      <c r="D73" s="8">
        <f>SUM(D70:D72)</f>
        <v>23.250000000000004</v>
      </c>
      <c r="E73" s="8">
        <v>23.250000000000004</v>
      </c>
      <c r="H73" t="s">
        <v>89</v>
      </c>
    </row>
    <row r="74" spans="1:9" ht="30" x14ac:dyDescent="0.25">
      <c r="A74" s="10" t="s">
        <v>59</v>
      </c>
      <c r="B74" s="9">
        <v>0.34</v>
      </c>
      <c r="C74" s="6" t="s">
        <v>141</v>
      </c>
      <c r="D74" s="8">
        <f>D73*B74</f>
        <v>7.905000000000002</v>
      </c>
      <c r="E74" s="8">
        <f>F74*E73</f>
        <v>10.230000000000002</v>
      </c>
      <c r="F74" s="9">
        <v>0.44</v>
      </c>
      <c r="I74" t="s">
        <v>129</v>
      </c>
    </row>
    <row r="75" spans="1:9" ht="45" x14ac:dyDescent="0.25">
      <c r="A75" s="10" t="s">
        <v>60</v>
      </c>
      <c r="B75">
        <v>0.13</v>
      </c>
      <c r="C75" t="s">
        <v>136</v>
      </c>
      <c r="D75" s="8">
        <f>D73*B75</f>
        <v>3.0225000000000004</v>
      </c>
      <c r="E75" s="28">
        <v>3.02</v>
      </c>
    </row>
    <row r="76" spans="1:9" x14ac:dyDescent="0.25">
      <c r="A76" s="10"/>
      <c r="C76" t="s">
        <v>85</v>
      </c>
      <c r="D76" s="8">
        <f>SUM(D73:D75)</f>
        <v>34.177500000000002</v>
      </c>
      <c r="E76" s="8">
        <f>SUM(E73:E75)</f>
        <v>36.500000000000007</v>
      </c>
    </row>
    <row r="77" spans="1:9" x14ac:dyDescent="0.25">
      <c r="A77" s="10"/>
      <c r="C77" t="s">
        <v>86</v>
      </c>
      <c r="D77" s="8">
        <f>D76/4</f>
        <v>8.5443750000000005</v>
      </c>
      <c r="E77" s="8">
        <f>E76*((1+(0.15*2)))/2</f>
        <v>23.725000000000005</v>
      </c>
      <c r="F77" t="s">
        <v>85</v>
      </c>
    </row>
    <row r="78" spans="1:9" x14ac:dyDescent="0.25">
      <c r="D78" s="45"/>
      <c r="E78" s="8">
        <f>E77/4</f>
        <v>5.9312500000000012</v>
      </c>
      <c r="F78" t="s">
        <v>86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Hourly components</vt:lpstr>
      <vt:lpstr>Sheet1</vt:lpstr>
      <vt:lpstr>clinical +</vt:lpstr>
      <vt:lpstr>DHER</vt:lpstr>
      <vt:lpstr>Hourly Rates2017 review</vt:lpstr>
      <vt:lpstr>'Hourly components'!Print_Area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Morris, Thomas (DDS)</cp:lastModifiedBy>
  <cp:lastPrinted>2015-07-16T13:19:46Z</cp:lastPrinted>
  <dcterms:created xsi:type="dcterms:W3CDTF">2015-06-01T17:02:48Z</dcterms:created>
  <dcterms:modified xsi:type="dcterms:W3CDTF">2017-04-20T15:12:15Z</dcterms:modified>
</cp:coreProperties>
</file>