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autoCompressPictures="0" defaultThemeVersion="124226"/>
  <bookViews>
    <workbookView xWindow="0" yWindow="4905" windowWidth="25200" windowHeight="7755" tabRatio="925" activeTab="1"/>
  </bookViews>
  <sheets>
    <sheet name="Appendix J-1" sheetId="1" r:id="rId1"/>
    <sheet name="Appendix J-2" sheetId="2" r:id="rId2"/>
    <sheet name="linked - DO NOT USE or DELETE" sheetId="3" state="hidden" r:id="rId3"/>
    <sheet name="Factor D Back Up" sheetId="4" r:id="rId4"/>
    <sheet name="Non Factor D Back Up" sheetId="5" r:id="rId5"/>
    <sheet name="DDS Rates for Amend" sheetId="6" state="hidden" r:id="rId6"/>
    <sheet name="Rates" sheetId="12" r:id="rId7"/>
    <sheet name="Factors D and G Prime" sheetId="7" r:id="rId8"/>
    <sheet name="CPI Rates" sheetId="8" state="hidden" r:id="rId9"/>
    <sheet name="Service Limitations" sheetId="9" state="hidden" r:id="rId10"/>
    <sheet name="Service Detail" sheetId="10" state="hidden" r:id="rId11"/>
    <sheet name="DDS Rate Table" sheetId="11" state="hidden" r:id="rId12"/>
    <sheet name="Aggregate Change" sheetId="13" state="hidden" r:id="rId13"/>
  </sheets>
  <definedNames>
    <definedName name="_xlnm._FilterDatabase" localSheetId="3" hidden="1">'Factor D Back Up'!$A$684:$H$699</definedName>
    <definedName name="_xlnm.Print_Area" localSheetId="1">'Appendix J-2'!$A$1:$BZ$133</definedName>
    <definedName name="_xlnm.Print_Area" localSheetId="3">'Factor D Back Up'!$A$1:$I$2021</definedName>
    <definedName name="_xlnm.Print_Area" localSheetId="4">'Non Factor D Back Up'!$A$1:$P$17</definedName>
    <definedName name="_xlnm.Print_Area" localSheetId="6">Rates!$A$1:$I$126</definedName>
    <definedName name="_xlnm.Print_Titles" localSheetId="1">'Appendix J-2'!$A:$C</definedName>
    <definedName name="_xlnm.Print_Titles" localSheetId="5">'DDS Rates for Amend'!$A:$A</definedName>
    <definedName name="_xlnm.Print_Titles" localSheetId="2">'linked - DO NOT USE or DELETE'!$A:$C</definedName>
    <definedName name="_xlnm.Print_Titles" localSheetId="6">Rates!$1:$11</definedName>
    <definedName name="Z_4A3285AE_343A_41F7_9394_21B7A3FD06ED_.wvu.FilterData" localSheetId="3" hidden="1">'Factor D Back Up'!$A$684:$H$699</definedName>
    <definedName name="Z_B6305DA3_A032_4F38_BA31_37F5B3FAC8B9_.wvu.Cols" localSheetId="1" hidden="1">'Appendix J-2'!$CB:$CD</definedName>
    <definedName name="Z_B6305DA3_A032_4F38_BA31_37F5B3FAC8B9_.wvu.Cols" localSheetId="3" hidden="1">'Factor D Back Up'!$K:$M</definedName>
    <definedName name="Z_B6305DA3_A032_4F38_BA31_37F5B3FAC8B9_.wvu.Cols" localSheetId="2" hidden="1">'linked - DO NOT USE or DELETE'!$S:$BA</definedName>
    <definedName name="Z_B6305DA3_A032_4F38_BA31_37F5B3FAC8B9_.wvu.FilterData" localSheetId="3" hidden="1">'Factor D Back Up'!$A$684:$H$699</definedName>
    <definedName name="Z_B6305DA3_A032_4F38_BA31_37F5B3FAC8B9_.wvu.PrintArea" localSheetId="1" hidden="1">'Appendix J-2'!$A$2:$AQ$135</definedName>
    <definedName name="Z_B6305DA3_A032_4F38_BA31_37F5B3FAC8B9_.wvu.PrintArea" localSheetId="3" hidden="1">'Factor D Back Up'!$A$1:$I$1932</definedName>
    <definedName name="Z_B6305DA3_A032_4F38_BA31_37F5B3FAC8B9_.wvu.PrintArea" localSheetId="4" hidden="1">'Non Factor D Back Up'!$A$1:$K$16</definedName>
    <definedName name="Z_B6305DA3_A032_4F38_BA31_37F5B3FAC8B9_.wvu.PrintTitles" localSheetId="2" hidden="1">'linked - DO NOT USE or DELETE'!$A:$C</definedName>
    <definedName name="Z_B6305DA3_A032_4F38_BA31_37F5B3FAC8B9_.wvu.Rows" localSheetId="5" hidden="1">'DDS Rates for Amend'!$14:$15</definedName>
    <definedName name="Z_BE213145_94B6_4D67_83E8_F1C2631C8B17_.wvu.Cols" localSheetId="1" hidden="1">'Appendix J-2'!$CB:$CD</definedName>
    <definedName name="Z_BE213145_94B6_4D67_83E8_F1C2631C8B17_.wvu.Cols" localSheetId="3" hidden="1">'Factor D Back Up'!$K:$M</definedName>
    <definedName name="Z_BE213145_94B6_4D67_83E8_F1C2631C8B17_.wvu.Cols" localSheetId="2" hidden="1">'linked - DO NOT USE or DELETE'!$S:$BA</definedName>
    <definedName name="Z_BE213145_94B6_4D67_83E8_F1C2631C8B17_.wvu.FilterData" localSheetId="3" hidden="1">'Factor D Back Up'!$A$684:$H$699</definedName>
    <definedName name="Z_BE213145_94B6_4D67_83E8_F1C2631C8B17_.wvu.PrintArea" localSheetId="1" hidden="1">'Appendix J-2'!$A$2:$AQ$135</definedName>
    <definedName name="Z_BE213145_94B6_4D67_83E8_F1C2631C8B17_.wvu.PrintArea" localSheetId="3" hidden="1">'Factor D Back Up'!$A$1:$I$1932</definedName>
    <definedName name="Z_BE213145_94B6_4D67_83E8_F1C2631C8B17_.wvu.PrintArea" localSheetId="4" hidden="1">'Non Factor D Back Up'!$A$1:$K$16</definedName>
    <definedName name="Z_BE213145_94B6_4D67_83E8_F1C2631C8B17_.wvu.PrintTitles" localSheetId="2" hidden="1">'linked - DO NOT USE or DELETE'!$A:$C</definedName>
    <definedName name="Z_BE213145_94B6_4D67_83E8_F1C2631C8B17_.wvu.Rows" localSheetId="5" hidden="1">'DDS Rates for Amend'!$14:$15</definedName>
  </definedNames>
  <calcPr calcId="145621"/>
  <customWorkbookViews>
    <customWorkbookView name="Shaffer, Darrin (DHCF) - Personal View" guid="{B6305DA3-A032-4F38-BA31-37F5B3FAC8B9}" mergeInterval="0" personalView="1" maximized="1" windowWidth="1680" windowHeight="864" tabRatio="766" activeSheetId="4"/>
    <customWorkbookView name="ServUS - Personal View" guid="{BE213145-94B6-4D67-83E8-F1C2631C8B17}" mergeInterval="0" personalView="1" maximized="1" windowWidth="1302" windowHeight="582" tabRatio="868" activeSheetId="4"/>
  </customWorkbookViews>
</workbook>
</file>

<file path=xl/calcChain.xml><?xml version="1.0" encoding="utf-8"?>
<calcChain xmlns="http://schemas.openxmlformats.org/spreadsheetml/2006/main">
  <c r="AM17" i="6" l="1"/>
  <c r="D100" i="12" l="1"/>
  <c r="D98" i="12"/>
  <c r="D93" i="12"/>
  <c r="D94" i="12"/>
  <c r="D95" i="12"/>
  <c r="D96" i="12"/>
  <c r="D97" i="12"/>
  <c r="D92" i="12"/>
  <c r="D91" i="12"/>
  <c r="D49" i="12"/>
  <c r="D41" i="12"/>
  <c r="D39" i="12"/>
  <c r="D36" i="12"/>
  <c r="F22" i="13" l="1"/>
  <c r="F11" i="13"/>
  <c r="F5" i="13"/>
  <c r="G22" i="13"/>
  <c r="G16" i="13"/>
  <c r="G17" i="13"/>
  <c r="G18" i="13"/>
  <c r="G19" i="13"/>
  <c r="G20" i="13"/>
  <c r="G21" i="13"/>
  <c r="G15" i="13"/>
  <c r="F16" i="13"/>
  <c r="F17" i="13"/>
  <c r="F18" i="13"/>
  <c r="F19" i="13"/>
  <c r="F20" i="13"/>
  <c r="F21" i="13"/>
  <c r="F15" i="13"/>
  <c r="E16" i="13"/>
  <c r="E17" i="13"/>
  <c r="E18" i="13"/>
  <c r="E19" i="13"/>
  <c r="E20" i="13"/>
  <c r="E21" i="13"/>
  <c r="E15" i="13"/>
  <c r="D16" i="13"/>
  <c r="D17" i="13"/>
  <c r="D18" i="13"/>
  <c r="D19" i="13"/>
  <c r="D20" i="13"/>
  <c r="D21" i="13"/>
  <c r="D15" i="13"/>
  <c r="B21" i="13"/>
  <c r="B20" i="13"/>
  <c r="B19" i="13"/>
  <c r="B18" i="13"/>
  <c r="B17" i="13"/>
  <c r="B16" i="13"/>
  <c r="B15" i="13"/>
  <c r="C21" i="13"/>
  <c r="C20" i="13"/>
  <c r="C19" i="13"/>
  <c r="C18" i="13"/>
  <c r="C17" i="13"/>
  <c r="C16" i="13"/>
  <c r="C15" i="13"/>
  <c r="C10" i="13"/>
  <c r="D10" i="13" s="1"/>
  <c r="E10" i="13" s="1"/>
  <c r="G10" i="13" s="1"/>
  <c r="C9" i="13"/>
  <c r="D9" i="13" s="1"/>
  <c r="E9" i="13" s="1"/>
  <c r="G9" i="13" s="1"/>
  <c r="F10" i="13"/>
  <c r="F9" i="13"/>
  <c r="B10" i="13"/>
  <c r="B9" i="13"/>
  <c r="F4" i="13"/>
  <c r="F3" i="13"/>
  <c r="C4" i="13"/>
  <c r="C3" i="13"/>
  <c r="B4" i="13"/>
  <c r="B3" i="13"/>
  <c r="G11" i="13" l="1"/>
  <c r="D3" i="13"/>
  <c r="E3" i="13" s="1"/>
  <c r="G3" i="13" s="1"/>
  <c r="D4" i="13"/>
  <c r="E4" i="13" s="1"/>
  <c r="G4" i="13" s="1"/>
  <c r="G5" i="13" l="1"/>
  <c r="I112" i="12" l="1"/>
  <c r="H112" i="12"/>
  <c r="G112" i="12"/>
  <c r="F121" i="12"/>
  <c r="G121" i="12" s="1"/>
  <c r="H121" i="12" s="1"/>
  <c r="I121" i="12" s="1"/>
  <c r="F120" i="12"/>
  <c r="G120" i="12" s="1"/>
  <c r="H120" i="12" s="1"/>
  <c r="I120" i="12" s="1"/>
  <c r="F119" i="12"/>
  <c r="G119" i="12" s="1"/>
  <c r="H119" i="12" s="1"/>
  <c r="I119" i="12" s="1"/>
  <c r="F118" i="12"/>
  <c r="G118" i="12" s="1"/>
  <c r="H118" i="12" s="1"/>
  <c r="I118" i="12" s="1"/>
  <c r="F117" i="12"/>
  <c r="G117" i="12" s="1"/>
  <c r="H117" i="12" s="1"/>
  <c r="I117" i="12" s="1"/>
  <c r="F116" i="12"/>
  <c r="G116" i="12" s="1"/>
  <c r="H116" i="12" s="1"/>
  <c r="I116" i="12" s="1"/>
  <c r="F115" i="12"/>
  <c r="G115" i="12" s="1"/>
  <c r="H115" i="12" s="1"/>
  <c r="I115" i="12" s="1"/>
  <c r="F114" i="12"/>
  <c r="G114" i="12" s="1"/>
  <c r="H114" i="12" s="1"/>
  <c r="I114" i="12" s="1"/>
  <c r="F112" i="12"/>
  <c r="F111" i="12"/>
  <c r="G111" i="12" s="1"/>
  <c r="H111" i="12" s="1"/>
  <c r="I111" i="12" s="1"/>
  <c r="F110" i="12"/>
  <c r="G110" i="12" s="1"/>
  <c r="H110" i="12" s="1"/>
  <c r="I110" i="12" s="1"/>
  <c r="F104" i="12"/>
  <c r="G104" i="12" s="1"/>
  <c r="H104" i="12" s="1"/>
  <c r="I104" i="12" s="1"/>
  <c r="F102" i="12"/>
  <c r="G102" i="12" s="1"/>
  <c r="H102" i="12" s="1"/>
  <c r="I102" i="12" s="1"/>
  <c r="F101" i="12"/>
  <c r="G101" i="12" s="1"/>
  <c r="H101" i="12" s="1"/>
  <c r="I101" i="12" s="1"/>
  <c r="F98" i="12"/>
  <c r="G98" i="12" s="1"/>
  <c r="H98" i="12" s="1"/>
  <c r="I98" i="12" s="1"/>
  <c r="F97" i="12"/>
  <c r="G97" i="12" s="1"/>
  <c r="H97" i="12" s="1"/>
  <c r="I97" i="12" s="1"/>
  <c r="F96" i="12"/>
  <c r="G96" i="12" s="1"/>
  <c r="H96" i="12" s="1"/>
  <c r="I96" i="12" s="1"/>
  <c r="F95" i="12"/>
  <c r="G95" i="12" s="1"/>
  <c r="H95" i="12" s="1"/>
  <c r="I95" i="12" s="1"/>
  <c r="F94" i="12"/>
  <c r="G94" i="12" s="1"/>
  <c r="H94" i="12" s="1"/>
  <c r="I94" i="12" s="1"/>
  <c r="F93" i="12"/>
  <c r="G93" i="12" s="1"/>
  <c r="H93" i="12" s="1"/>
  <c r="I93" i="12" s="1"/>
  <c r="F92" i="12"/>
  <c r="G92" i="12" s="1"/>
  <c r="H92" i="12" s="1"/>
  <c r="I92" i="12" s="1"/>
  <c r="F91" i="12"/>
  <c r="G91" i="12" s="1"/>
  <c r="H91" i="12" s="1"/>
  <c r="I91" i="12" s="1"/>
  <c r="F74" i="12"/>
  <c r="G74" i="12" s="1"/>
  <c r="H74" i="12" s="1"/>
  <c r="I74" i="12" s="1"/>
  <c r="F57" i="12"/>
  <c r="G57" i="12" s="1"/>
  <c r="H57" i="12" s="1"/>
  <c r="I57" i="12" s="1"/>
  <c r="F56" i="12"/>
  <c r="G56" i="12" s="1"/>
  <c r="H56" i="12" s="1"/>
  <c r="I56" i="12" s="1"/>
  <c r="F55" i="12"/>
  <c r="G55" i="12" s="1"/>
  <c r="H55" i="12" s="1"/>
  <c r="I55" i="12" s="1"/>
  <c r="F54" i="12"/>
  <c r="G54" i="12" s="1"/>
  <c r="H54" i="12" s="1"/>
  <c r="I54" i="12" s="1"/>
  <c r="F53" i="12"/>
  <c r="G53" i="12" s="1"/>
  <c r="H53" i="12" s="1"/>
  <c r="I53" i="12" s="1"/>
  <c r="F52" i="12"/>
  <c r="G52" i="12" s="1"/>
  <c r="H52" i="12" s="1"/>
  <c r="I52" i="12" s="1"/>
  <c r="F51" i="12"/>
  <c r="G51" i="12" s="1"/>
  <c r="H51" i="12" s="1"/>
  <c r="I51" i="12" s="1"/>
  <c r="F45" i="12"/>
  <c r="G45" i="12" s="1"/>
  <c r="H45" i="12" s="1"/>
  <c r="I45" i="12" s="1"/>
  <c r="F44" i="12"/>
  <c r="G44" i="12" s="1"/>
  <c r="H44" i="12" s="1"/>
  <c r="I44" i="12" s="1"/>
  <c r="F31" i="12"/>
  <c r="G31" i="12" s="1"/>
  <c r="H31" i="12" s="1"/>
  <c r="I31" i="12" s="1"/>
  <c r="F30" i="12"/>
  <c r="G30" i="12" s="1"/>
  <c r="H30" i="12" s="1"/>
  <c r="I30" i="12" s="1"/>
  <c r="F29" i="12"/>
  <c r="G29" i="12" s="1"/>
  <c r="H29" i="12" s="1"/>
  <c r="I29" i="12" s="1"/>
  <c r="E126" i="12"/>
  <c r="F126" i="12" s="1"/>
  <c r="G126" i="12" s="1"/>
  <c r="H126" i="12" s="1"/>
  <c r="I126" i="12" s="1"/>
  <c r="E125" i="12"/>
  <c r="F125" i="12" s="1"/>
  <c r="G125" i="12" s="1"/>
  <c r="H125" i="12" s="1"/>
  <c r="I125" i="12" s="1"/>
  <c r="E124" i="12"/>
  <c r="F124" i="12" s="1"/>
  <c r="G124" i="12" s="1"/>
  <c r="H124" i="12" s="1"/>
  <c r="I124" i="12" s="1"/>
  <c r="E123" i="12"/>
  <c r="F123" i="12" s="1"/>
  <c r="G123" i="12" s="1"/>
  <c r="H123" i="12" s="1"/>
  <c r="I123" i="12" s="1"/>
  <c r="E122" i="12"/>
  <c r="F122" i="12" s="1"/>
  <c r="G122" i="12" s="1"/>
  <c r="H122" i="12" s="1"/>
  <c r="I122" i="12" s="1"/>
  <c r="E112" i="12"/>
  <c r="E109" i="12"/>
  <c r="F109" i="12" s="1"/>
  <c r="G109" i="12" s="1"/>
  <c r="H109" i="12" s="1"/>
  <c r="I109" i="12" s="1"/>
  <c r="E108" i="12"/>
  <c r="F108" i="12" s="1"/>
  <c r="G108" i="12" s="1"/>
  <c r="H108" i="12" s="1"/>
  <c r="I108" i="12" s="1"/>
  <c r="E107" i="12"/>
  <c r="F107" i="12" s="1"/>
  <c r="G107" i="12" s="1"/>
  <c r="H107" i="12" s="1"/>
  <c r="I107" i="12" s="1"/>
  <c r="E106" i="12"/>
  <c r="F106" i="12" s="1"/>
  <c r="G106" i="12" s="1"/>
  <c r="H106" i="12" s="1"/>
  <c r="I106" i="12" s="1"/>
  <c r="E105" i="12"/>
  <c r="F105" i="12" s="1"/>
  <c r="G105" i="12" s="1"/>
  <c r="H105" i="12" s="1"/>
  <c r="I105" i="12" s="1"/>
  <c r="E103" i="12"/>
  <c r="F103" i="12" s="1"/>
  <c r="G103" i="12" s="1"/>
  <c r="H103" i="12" s="1"/>
  <c r="I103" i="12" s="1"/>
  <c r="E90" i="12"/>
  <c r="F90" i="12" s="1"/>
  <c r="G90" i="12" s="1"/>
  <c r="H90" i="12" s="1"/>
  <c r="I90" i="12" s="1"/>
  <c r="E89" i="12"/>
  <c r="F89" i="12" s="1"/>
  <c r="G89" i="12" s="1"/>
  <c r="H89" i="12" s="1"/>
  <c r="I89" i="12" s="1"/>
  <c r="E88" i="12"/>
  <c r="F88" i="12" s="1"/>
  <c r="G88" i="12" s="1"/>
  <c r="H88" i="12" s="1"/>
  <c r="I88" i="12" s="1"/>
  <c r="E87" i="12"/>
  <c r="F87" i="12" s="1"/>
  <c r="G87" i="12" s="1"/>
  <c r="H87" i="12" s="1"/>
  <c r="I87" i="12" s="1"/>
  <c r="E86" i="12"/>
  <c r="F86" i="12" s="1"/>
  <c r="G86" i="12" s="1"/>
  <c r="H86" i="12" s="1"/>
  <c r="I86" i="12" s="1"/>
  <c r="E85" i="12"/>
  <c r="F85" i="12" s="1"/>
  <c r="G85" i="12" s="1"/>
  <c r="H85" i="12" s="1"/>
  <c r="I85" i="12" s="1"/>
  <c r="E84" i="12"/>
  <c r="F84" i="12" s="1"/>
  <c r="G84" i="12" s="1"/>
  <c r="H84" i="12" s="1"/>
  <c r="I84" i="12" s="1"/>
  <c r="E83" i="12"/>
  <c r="F83" i="12" s="1"/>
  <c r="G83" i="12" s="1"/>
  <c r="H83" i="12" s="1"/>
  <c r="I83" i="12" s="1"/>
  <c r="E82" i="12"/>
  <c r="F82" i="12" s="1"/>
  <c r="G82" i="12" s="1"/>
  <c r="H82" i="12" s="1"/>
  <c r="I82" i="12" s="1"/>
  <c r="E81" i="12"/>
  <c r="F81" i="12" s="1"/>
  <c r="G81" i="12" s="1"/>
  <c r="H81" i="12" s="1"/>
  <c r="I81" i="12" s="1"/>
  <c r="E80" i="12"/>
  <c r="F80" i="12" s="1"/>
  <c r="G80" i="12" s="1"/>
  <c r="H80" i="12" s="1"/>
  <c r="I80" i="12" s="1"/>
  <c r="E79" i="12"/>
  <c r="F79" i="12" s="1"/>
  <c r="G79" i="12" s="1"/>
  <c r="H79" i="12" s="1"/>
  <c r="I79" i="12" s="1"/>
  <c r="E78" i="12"/>
  <c r="F78" i="12" s="1"/>
  <c r="G78" i="12" s="1"/>
  <c r="H78" i="12" s="1"/>
  <c r="I78" i="12" s="1"/>
  <c r="E77" i="12"/>
  <c r="F77" i="12" s="1"/>
  <c r="G77" i="12" s="1"/>
  <c r="H77" i="12" s="1"/>
  <c r="I77" i="12" s="1"/>
  <c r="E76" i="12"/>
  <c r="F76" i="12" s="1"/>
  <c r="G76" i="12" s="1"/>
  <c r="H76" i="12" s="1"/>
  <c r="I76" i="12" s="1"/>
  <c r="E75" i="12"/>
  <c r="F75" i="12" s="1"/>
  <c r="G75" i="12" s="1"/>
  <c r="H75" i="12" s="1"/>
  <c r="I75" i="12" s="1"/>
  <c r="E73" i="12"/>
  <c r="F73" i="12" s="1"/>
  <c r="G73" i="12" s="1"/>
  <c r="H73" i="12" s="1"/>
  <c r="I73" i="12" s="1"/>
  <c r="E72" i="12"/>
  <c r="F72" i="12" s="1"/>
  <c r="G72" i="12" s="1"/>
  <c r="H72" i="12" s="1"/>
  <c r="I72" i="12" s="1"/>
  <c r="E71" i="12"/>
  <c r="F71" i="12" s="1"/>
  <c r="G71" i="12" s="1"/>
  <c r="H71" i="12" s="1"/>
  <c r="I71" i="12" s="1"/>
  <c r="E70" i="12"/>
  <c r="F70" i="12" s="1"/>
  <c r="G70" i="12" s="1"/>
  <c r="H70" i="12" s="1"/>
  <c r="I70" i="12" s="1"/>
  <c r="E69" i="12"/>
  <c r="F69" i="12" s="1"/>
  <c r="G69" i="12" s="1"/>
  <c r="H69" i="12" s="1"/>
  <c r="I69" i="12" s="1"/>
  <c r="E68" i="12"/>
  <c r="F68" i="12" s="1"/>
  <c r="G68" i="12" s="1"/>
  <c r="H68" i="12" s="1"/>
  <c r="I68" i="12" s="1"/>
  <c r="E67" i="12"/>
  <c r="F67" i="12" s="1"/>
  <c r="G67" i="12" s="1"/>
  <c r="H67" i="12" s="1"/>
  <c r="I67" i="12" s="1"/>
  <c r="E66" i="12"/>
  <c r="F66" i="12" s="1"/>
  <c r="G66" i="12" s="1"/>
  <c r="H66" i="12" s="1"/>
  <c r="I66" i="12" s="1"/>
  <c r="E65" i="12"/>
  <c r="F65" i="12" s="1"/>
  <c r="G65" i="12" s="1"/>
  <c r="H65" i="12" s="1"/>
  <c r="I65" i="12" s="1"/>
  <c r="E64" i="12"/>
  <c r="F64" i="12" s="1"/>
  <c r="G64" i="12" s="1"/>
  <c r="H64" i="12" s="1"/>
  <c r="I64" i="12" s="1"/>
  <c r="E63" i="12"/>
  <c r="F63" i="12" s="1"/>
  <c r="G63" i="12" s="1"/>
  <c r="H63" i="12" s="1"/>
  <c r="I63" i="12" s="1"/>
  <c r="E62" i="12"/>
  <c r="F62" i="12" s="1"/>
  <c r="G62" i="12" s="1"/>
  <c r="H62" i="12" s="1"/>
  <c r="I62" i="12" s="1"/>
  <c r="E61" i="12"/>
  <c r="F61" i="12" s="1"/>
  <c r="G61" i="12" s="1"/>
  <c r="H61" i="12" s="1"/>
  <c r="I61" i="12" s="1"/>
  <c r="E60" i="12"/>
  <c r="F60" i="12" s="1"/>
  <c r="G60" i="12" s="1"/>
  <c r="H60" i="12" s="1"/>
  <c r="I60" i="12" s="1"/>
  <c r="E59" i="12"/>
  <c r="F59" i="12" s="1"/>
  <c r="G59" i="12" s="1"/>
  <c r="H59" i="12" s="1"/>
  <c r="I59" i="12" s="1"/>
  <c r="E58" i="12"/>
  <c r="F58" i="12" s="1"/>
  <c r="G58" i="12" s="1"/>
  <c r="H58" i="12" s="1"/>
  <c r="I58" i="12" s="1"/>
  <c r="E50" i="12"/>
  <c r="F50" i="12" s="1"/>
  <c r="G50" i="12" s="1"/>
  <c r="H50" i="12" s="1"/>
  <c r="I50" i="12" s="1"/>
  <c r="E48" i="12"/>
  <c r="F48" i="12" s="1"/>
  <c r="G48" i="12" s="1"/>
  <c r="H48" i="12" s="1"/>
  <c r="I48" i="12" s="1"/>
  <c r="E47" i="12"/>
  <c r="F47" i="12" s="1"/>
  <c r="G47" i="12" s="1"/>
  <c r="H47" i="12" s="1"/>
  <c r="I47" i="12" s="1"/>
  <c r="E46" i="12"/>
  <c r="F46" i="12" s="1"/>
  <c r="G46" i="12" s="1"/>
  <c r="H46" i="12" s="1"/>
  <c r="I46" i="12" s="1"/>
  <c r="E43" i="12"/>
  <c r="F43" i="12" s="1"/>
  <c r="G43" i="12" s="1"/>
  <c r="H43" i="12" s="1"/>
  <c r="I43" i="12" s="1"/>
  <c r="E42" i="12"/>
  <c r="F42" i="12" s="1"/>
  <c r="G42" i="12" s="1"/>
  <c r="H42" i="12" s="1"/>
  <c r="I42" i="12" s="1"/>
  <c r="E40" i="12"/>
  <c r="F40" i="12" s="1"/>
  <c r="G40" i="12" s="1"/>
  <c r="H40" i="12" s="1"/>
  <c r="I40" i="12" s="1"/>
  <c r="E38" i="12"/>
  <c r="F38" i="12" s="1"/>
  <c r="G38" i="12" s="1"/>
  <c r="H38" i="12" s="1"/>
  <c r="I38" i="12" s="1"/>
  <c r="E37" i="12"/>
  <c r="F37" i="12" s="1"/>
  <c r="G37" i="12" s="1"/>
  <c r="H37" i="12" s="1"/>
  <c r="I37" i="12" s="1"/>
  <c r="E35" i="12"/>
  <c r="F35" i="12" s="1"/>
  <c r="G35" i="12" s="1"/>
  <c r="H35" i="12" s="1"/>
  <c r="I35" i="12" s="1"/>
  <c r="E34" i="12"/>
  <c r="F34" i="12" s="1"/>
  <c r="G34" i="12" s="1"/>
  <c r="H34" i="12" s="1"/>
  <c r="I34" i="12" s="1"/>
  <c r="E33" i="12"/>
  <c r="F33" i="12" s="1"/>
  <c r="G33" i="12" s="1"/>
  <c r="H33" i="12" s="1"/>
  <c r="I33" i="12" s="1"/>
  <c r="E32" i="12"/>
  <c r="F32" i="12" s="1"/>
  <c r="G32" i="12" s="1"/>
  <c r="H32" i="12" s="1"/>
  <c r="I32" i="12" s="1"/>
  <c r="E28" i="12"/>
  <c r="F28" i="12" s="1"/>
  <c r="G28" i="12" s="1"/>
  <c r="H28" i="12" s="1"/>
  <c r="I28" i="12" s="1"/>
  <c r="E27" i="12"/>
  <c r="F27" i="12" s="1"/>
  <c r="G27" i="12" s="1"/>
  <c r="H27" i="12" s="1"/>
  <c r="I27" i="12" s="1"/>
  <c r="E26" i="12"/>
  <c r="F26" i="12" s="1"/>
  <c r="G26" i="12" s="1"/>
  <c r="H26" i="12" s="1"/>
  <c r="I26" i="12" s="1"/>
  <c r="E25" i="12"/>
  <c r="F25" i="12" s="1"/>
  <c r="G25" i="12" s="1"/>
  <c r="H25" i="12" s="1"/>
  <c r="I25" i="12" s="1"/>
  <c r="E24" i="12"/>
  <c r="F24" i="12" s="1"/>
  <c r="G24" i="12" s="1"/>
  <c r="H24" i="12" s="1"/>
  <c r="I24" i="12" s="1"/>
  <c r="E23" i="12"/>
  <c r="F23" i="12" s="1"/>
  <c r="G23" i="12" s="1"/>
  <c r="H23" i="12" s="1"/>
  <c r="I23" i="12" s="1"/>
  <c r="E22" i="12"/>
  <c r="F22" i="12" s="1"/>
  <c r="G22" i="12" s="1"/>
  <c r="H22" i="12" s="1"/>
  <c r="I22" i="12" s="1"/>
  <c r="E21" i="12"/>
  <c r="F21" i="12" s="1"/>
  <c r="G21" i="12" s="1"/>
  <c r="H21" i="12" s="1"/>
  <c r="I21" i="12" s="1"/>
  <c r="E20" i="12"/>
  <c r="F20" i="12" s="1"/>
  <c r="G20" i="12" s="1"/>
  <c r="H20" i="12" s="1"/>
  <c r="I20" i="12" s="1"/>
  <c r="E19" i="12"/>
  <c r="F19" i="12" s="1"/>
  <c r="G19" i="12" s="1"/>
  <c r="H19" i="12" s="1"/>
  <c r="I19" i="12" s="1"/>
  <c r="E18" i="12"/>
  <c r="F18" i="12" s="1"/>
  <c r="G18" i="12" s="1"/>
  <c r="H18" i="12" s="1"/>
  <c r="I18" i="12" s="1"/>
  <c r="E17" i="12"/>
  <c r="F17" i="12" s="1"/>
  <c r="G17" i="12" s="1"/>
  <c r="H17" i="12" s="1"/>
  <c r="I17" i="12" s="1"/>
  <c r="E16" i="12"/>
  <c r="F16" i="12" s="1"/>
  <c r="G16" i="12" s="1"/>
  <c r="H16" i="12" s="1"/>
  <c r="I16" i="12" s="1"/>
  <c r="E15" i="12"/>
  <c r="F15" i="12" s="1"/>
  <c r="G15" i="12" s="1"/>
  <c r="H15" i="12" s="1"/>
  <c r="I15" i="12" s="1"/>
  <c r="E14" i="12"/>
  <c r="F14" i="12" s="1"/>
  <c r="G14" i="12" s="1"/>
  <c r="H14" i="12" s="1"/>
  <c r="I14" i="12" s="1"/>
  <c r="E13" i="12"/>
  <c r="F13" i="12" s="1"/>
  <c r="G13" i="12" s="1"/>
  <c r="H13" i="12" s="1"/>
  <c r="I13" i="12" s="1"/>
  <c r="E12" i="12"/>
  <c r="F12" i="12" s="1"/>
  <c r="G12" i="12" s="1"/>
  <c r="H12" i="12" s="1"/>
  <c r="I12" i="12" s="1"/>
  <c r="D99" i="12"/>
  <c r="E99" i="12" s="1"/>
  <c r="F99" i="12" s="1"/>
  <c r="G99" i="12" s="1"/>
  <c r="H99" i="12" s="1"/>
  <c r="I99" i="12" s="1"/>
  <c r="E39" i="12"/>
  <c r="F39" i="12" s="1"/>
  <c r="G39" i="12" s="1"/>
  <c r="H39" i="12" s="1"/>
  <c r="I39" i="12" s="1"/>
  <c r="E36" i="12"/>
  <c r="F36" i="12" s="1"/>
  <c r="G36" i="12" s="1"/>
  <c r="H36" i="12" s="1"/>
  <c r="I36" i="12" s="1"/>
  <c r="E100" i="12"/>
  <c r="F100" i="12" s="1"/>
  <c r="G100" i="12" s="1"/>
  <c r="H100" i="12" s="1"/>
  <c r="I100" i="12" s="1"/>
  <c r="E49" i="12"/>
  <c r="F49" i="12" s="1"/>
  <c r="G49" i="12" s="1"/>
  <c r="H49" i="12" s="1"/>
  <c r="I49" i="12" s="1"/>
  <c r="E41" i="12"/>
  <c r="F41" i="12" s="1"/>
  <c r="G41" i="12" s="1"/>
  <c r="H41" i="12" s="1"/>
  <c r="I41" i="12" s="1"/>
  <c r="E1018" i="4" l="1"/>
  <c r="E874" i="4"/>
  <c r="D804" i="4"/>
  <c r="D788" i="4"/>
  <c r="D789" i="4"/>
  <c r="D787" i="4"/>
  <c r="D786" i="4"/>
  <c r="D771" i="4"/>
  <c r="D770" i="4"/>
  <c r="D769" i="4"/>
  <c r="D768" i="4"/>
  <c r="P1631" i="4"/>
  <c r="P1632" i="4"/>
  <c r="P1633" i="4"/>
  <c r="P1634" i="4"/>
  <c r="P1635" i="4"/>
  <c r="P1630" i="4"/>
  <c r="E476" i="4"/>
  <c r="E477" i="4"/>
  <c r="E478" i="4"/>
  <c r="E479" i="4"/>
  <c r="E480" i="4"/>
  <c r="E475" i="4"/>
  <c r="K9" i="5"/>
  <c r="L9" i="5"/>
  <c r="M9" i="5"/>
  <c r="N9" i="5"/>
  <c r="O9" i="5"/>
  <c r="P9" i="5"/>
  <c r="E1843" i="4" l="1"/>
  <c r="E1223" i="4"/>
  <c r="D1061" i="4"/>
  <c r="E1061" i="4"/>
  <c r="H1209" i="4" l="1"/>
  <c r="K2021" i="4"/>
  <c r="K2003" i="4"/>
  <c r="K1985" i="4"/>
  <c r="K1967" i="4"/>
  <c r="K1949" i="4"/>
  <c r="K1859" i="4"/>
  <c r="K1841" i="4"/>
  <c r="K1823" i="4"/>
  <c r="D273" i="4"/>
  <c r="E219" i="4"/>
  <c r="E201" i="4"/>
  <c r="D201" i="4"/>
  <c r="CF6" i="2"/>
  <c r="CF7" i="2"/>
  <c r="CF9" i="2"/>
  <c r="CF11" i="2"/>
  <c r="CF16" i="2"/>
  <c r="CF17" i="2"/>
  <c r="CF19" i="2"/>
  <c r="CF21" i="2"/>
  <c r="CF22" i="2"/>
  <c r="CF24" i="2"/>
  <c r="CF25" i="2"/>
  <c r="CF29" i="2"/>
  <c r="CF30" i="2"/>
  <c r="CF31" i="2"/>
  <c r="CF32" i="2"/>
  <c r="CF39" i="2"/>
  <c r="CF41" i="2"/>
  <c r="CF42" i="2"/>
  <c r="CF43" i="2"/>
  <c r="CF44" i="2"/>
  <c r="CF45" i="2"/>
  <c r="CF46" i="2"/>
  <c r="CF47" i="2"/>
  <c r="CF48" i="2"/>
  <c r="CF71" i="2"/>
  <c r="CF73" i="2"/>
  <c r="CF83" i="2"/>
  <c r="CF97" i="2"/>
  <c r="CF98" i="2"/>
  <c r="CF99" i="2"/>
  <c r="CF101" i="2"/>
  <c r="CF102" i="2"/>
  <c r="CF103" i="2"/>
  <c r="CF104" i="2"/>
  <c r="CF105" i="2"/>
  <c r="CF106" i="2"/>
  <c r="CF107" i="2"/>
  <c r="CF108" i="2"/>
  <c r="CF109" i="2"/>
  <c r="CF110" i="2"/>
  <c r="CF111" i="2"/>
  <c r="CF112" i="2"/>
  <c r="CF113" i="2"/>
  <c r="CF114" i="2"/>
  <c r="E677" i="4" l="1"/>
  <c r="E678" i="4"/>
  <c r="E679" i="4"/>
  <c r="E680" i="4"/>
  <c r="E681" i="4"/>
  <c r="E676" i="4"/>
  <c r="D555" i="4"/>
  <c r="E1415" i="4"/>
  <c r="E1416" i="4"/>
  <c r="E1417" i="4"/>
  <c r="E1418" i="4"/>
  <c r="E1419" i="4"/>
  <c r="E1414" i="4"/>
  <c r="E928" i="4"/>
  <c r="E1396" i="4"/>
  <c r="E1397" i="4"/>
  <c r="E1398" i="4"/>
  <c r="E1399" i="4"/>
  <c r="E1400" i="4"/>
  <c r="E1401" i="4"/>
  <c r="E910" i="4"/>
  <c r="E911" i="4"/>
  <c r="E912" i="4"/>
  <c r="E913" i="4"/>
  <c r="E914" i="4"/>
  <c r="E915" i="4"/>
  <c r="E1379" i="4"/>
  <c r="E1380" i="4"/>
  <c r="E1381" i="4"/>
  <c r="E1382" i="4"/>
  <c r="E1383" i="4"/>
  <c r="E1378" i="4"/>
  <c r="E893" i="4"/>
  <c r="E894" i="4"/>
  <c r="E895" i="4"/>
  <c r="E896" i="4"/>
  <c r="E897" i="4"/>
  <c r="E1001" i="4"/>
  <c r="E1002" i="4"/>
  <c r="E1003" i="4"/>
  <c r="E1004" i="4"/>
  <c r="E1005" i="4"/>
  <c r="E1361" i="4"/>
  <c r="E1362" i="4"/>
  <c r="E1363" i="4"/>
  <c r="E1364" i="4"/>
  <c r="E1365" i="4"/>
  <c r="E875" i="4"/>
  <c r="E876" i="4"/>
  <c r="E877" i="4"/>
  <c r="E878" i="4"/>
  <c r="E879" i="4"/>
  <c r="E1360" i="4"/>
  <c r="E1343" i="4"/>
  <c r="E1344" i="4"/>
  <c r="E1345" i="4"/>
  <c r="E1346" i="4"/>
  <c r="E1347" i="4"/>
  <c r="E1342" i="4"/>
  <c r="E857" i="4"/>
  <c r="E858" i="4"/>
  <c r="E859" i="4"/>
  <c r="E860" i="4"/>
  <c r="E861" i="4"/>
  <c r="E856" i="4"/>
  <c r="E839" i="4"/>
  <c r="E840" i="4"/>
  <c r="E841" i="4"/>
  <c r="E842" i="4"/>
  <c r="E843" i="4"/>
  <c r="E838" i="4"/>
  <c r="E1630" i="4"/>
  <c r="D1522" i="4"/>
  <c r="AM826" i="4"/>
  <c r="AM831" i="4" s="1"/>
  <c r="AK843" i="4"/>
  <c r="AJ843" i="4"/>
  <c r="AK842" i="4"/>
  <c r="AL842" i="4"/>
  <c r="AJ842" i="4"/>
  <c r="AK827" i="4"/>
  <c r="AL827" i="4"/>
  <c r="AJ827" i="4"/>
  <c r="AJ830" i="4"/>
  <c r="AK830" i="4"/>
  <c r="AL830" i="4"/>
  <c r="AJ831" i="4"/>
  <c r="AL831" i="4" s="1"/>
  <c r="AK831" i="4"/>
  <c r="AJ832" i="4"/>
  <c r="AL832" i="4" s="1"/>
  <c r="AK832" i="4"/>
  <c r="AJ833" i="4"/>
  <c r="AK833" i="4"/>
  <c r="AL833" i="4"/>
  <c r="AJ834" i="4"/>
  <c r="AL834" i="4" s="1"/>
  <c r="AK834" i="4"/>
  <c r="AJ835" i="4"/>
  <c r="AK835" i="4"/>
  <c r="AL835" i="4"/>
  <c r="AJ836" i="4"/>
  <c r="AK836" i="4"/>
  <c r="AL836" i="4"/>
  <c r="AJ837" i="4"/>
  <c r="AL837" i="4" s="1"/>
  <c r="AK837" i="4"/>
  <c r="AJ838" i="4"/>
  <c r="AK838" i="4"/>
  <c r="AL838" i="4"/>
  <c r="AJ839" i="4"/>
  <c r="AL839" i="4" s="1"/>
  <c r="AK839" i="4"/>
  <c r="AJ840" i="4"/>
  <c r="AL840" i="4" s="1"/>
  <c r="AK840" i="4"/>
  <c r="AJ841" i="4"/>
  <c r="AK841" i="4"/>
  <c r="AL841" i="4"/>
  <c r="AL828" i="4"/>
  <c r="AK828" i="4"/>
  <c r="AJ828" i="4"/>
  <c r="AI842" i="4"/>
  <c r="AI828" i="4"/>
  <c r="AI829" i="4"/>
  <c r="AI830" i="4"/>
  <c r="AI831" i="4"/>
  <c r="AI832" i="4"/>
  <c r="AI833" i="4"/>
  <c r="AI834" i="4"/>
  <c r="AI835" i="4"/>
  <c r="AI836" i="4"/>
  <c r="AI837" i="4"/>
  <c r="AI838" i="4"/>
  <c r="AI839" i="4"/>
  <c r="AI840" i="4"/>
  <c r="AI841" i="4"/>
  <c r="AI827" i="4"/>
  <c r="AB827" i="4"/>
  <c r="E1653" i="4"/>
  <c r="E1650" i="4"/>
  <c r="E1651" i="4" s="1"/>
  <c r="E1652" i="4" s="1"/>
  <c r="D1234" i="4"/>
  <c r="BC142" i="2"/>
  <c r="BE152" i="2" s="1"/>
  <c r="BE140" i="2"/>
  <c r="BE151" i="2" s="1"/>
  <c r="AX142" i="2"/>
  <c r="AZ152" i="2" s="1"/>
  <c r="AZ140" i="2"/>
  <c r="AZ151" i="2" s="1"/>
  <c r="AZ153" i="2" s="1"/>
  <c r="BE153" i="2" l="1"/>
  <c r="AM836" i="4"/>
  <c r="AN836" i="4" s="1"/>
  <c r="D1000" i="4" s="1"/>
  <c r="AM828" i="4"/>
  <c r="AN828" i="4" s="1"/>
  <c r="D856" i="4" s="1"/>
  <c r="AM833" i="4"/>
  <c r="AO833" i="4" s="1"/>
  <c r="D1432" i="4" s="1"/>
  <c r="AM830" i="4"/>
  <c r="AN830" i="4" s="1"/>
  <c r="D892" i="4" s="1"/>
  <c r="AM841" i="4"/>
  <c r="AO841" i="4" s="1"/>
  <c r="D1558" i="4" s="1"/>
  <c r="AM838" i="4"/>
  <c r="AN838" i="4" s="1"/>
  <c r="D1540" i="4" s="1"/>
  <c r="AM837" i="4"/>
  <c r="AN837" i="4" s="1"/>
  <c r="D1018" i="4" s="1"/>
  <c r="AO831" i="4"/>
  <c r="D1396" i="4" s="1"/>
  <c r="AN831" i="4"/>
  <c r="D910" i="4" s="1"/>
  <c r="AM835" i="4"/>
  <c r="AM827" i="4"/>
  <c r="AM834" i="4"/>
  <c r="AM840" i="4"/>
  <c r="AM832" i="4"/>
  <c r="AM839" i="4"/>
  <c r="D181" i="4"/>
  <c r="D180" i="4"/>
  <c r="D179" i="4"/>
  <c r="D178" i="4"/>
  <c r="D177" i="4"/>
  <c r="E1805" i="4"/>
  <c r="E1804" i="4"/>
  <c r="E1803" i="4"/>
  <c r="E1802" i="4"/>
  <c r="E1801" i="4"/>
  <c r="E1823" i="4"/>
  <c r="E1822" i="4"/>
  <c r="E1821" i="4"/>
  <c r="E1820" i="4"/>
  <c r="E1819" i="4"/>
  <c r="E1841" i="4"/>
  <c r="E1840" i="4"/>
  <c r="E1839" i="4"/>
  <c r="E1838" i="4"/>
  <c r="E1837" i="4"/>
  <c r="E1859" i="4"/>
  <c r="E1858" i="4"/>
  <c r="E1857" i="4"/>
  <c r="E1856" i="4"/>
  <c r="E1855" i="4"/>
  <c r="E1877" i="4"/>
  <c r="E1876" i="4"/>
  <c r="E1875" i="4"/>
  <c r="E1873" i="4"/>
  <c r="E1874" i="4"/>
  <c r="BB111" i="2"/>
  <c r="BB110" i="2"/>
  <c r="BD111" i="2"/>
  <c r="BG111" i="2"/>
  <c r="BG110" i="2"/>
  <c r="BH111" i="2"/>
  <c r="BH110" i="2"/>
  <c r="BL111" i="2"/>
  <c r="BL110" i="2"/>
  <c r="BQ111" i="2"/>
  <c r="BQ110" i="2"/>
  <c r="BV111" i="2"/>
  <c r="BV110" i="2"/>
  <c r="BX111" i="2"/>
  <c r="BV109" i="2"/>
  <c r="BS109" i="2"/>
  <c r="BQ109" i="2"/>
  <c r="BL109" i="2"/>
  <c r="BI109" i="2"/>
  <c r="BH109" i="2"/>
  <c r="BG109" i="2"/>
  <c r="BB109" i="2"/>
  <c r="BQ107" i="2"/>
  <c r="BL107" i="2"/>
  <c r="BG107" i="2"/>
  <c r="BV107" i="2"/>
  <c r="BW108" i="2"/>
  <c r="BV108" i="2"/>
  <c r="BR108" i="2"/>
  <c r="BQ108" i="2"/>
  <c r="BN108" i="2"/>
  <c r="BL108" i="2"/>
  <c r="BG108" i="2"/>
  <c r="BB108" i="2"/>
  <c r="E2005" i="4"/>
  <c r="D2005" i="4"/>
  <c r="E1987" i="4"/>
  <c r="D1987" i="4"/>
  <c r="E1969" i="4"/>
  <c r="D1969" i="4"/>
  <c r="E1951" i="4"/>
  <c r="D1951" i="4"/>
  <c r="E1933" i="4"/>
  <c r="D1933" i="4"/>
  <c r="E1915" i="4"/>
  <c r="D1915" i="4"/>
  <c r="E1879" i="4"/>
  <c r="G2021" i="4"/>
  <c r="BY111" i="2" s="1"/>
  <c r="G2020" i="4"/>
  <c r="BT111" i="2" s="1"/>
  <c r="G2019" i="4"/>
  <c r="BO111" i="2" s="1"/>
  <c r="G2017" i="4"/>
  <c r="BE111" i="2" s="1"/>
  <c r="G2003" i="4"/>
  <c r="BY110" i="2" s="1"/>
  <c r="G2000" i="4"/>
  <c r="BJ110" i="2" s="1"/>
  <c r="G1999" i="4"/>
  <c r="BE110" i="2" s="1"/>
  <c r="G1949" i="4"/>
  <c r="BY107" i="2" s="1"/>
  <c r="G1945" i="4"/>
  <c r="BE107" i="2" s="1"/>
  <c r="G1927" i="4"/>
  <c r="G1963" i="4"/>
  <c r="BE108" i="2" s="1"/>
  <c r="G1985" i="4"/>
  <c r="BY109" i="2" s="1"/>
  <c r="G1984" i="4"/>
  <c r="BT109" i="2" s="1"/>
  <c r="G1981" i="4"/>
  <c r="BE109" i="2" s="1"/>
  <c r="E2021" i="4"/>
  <c r="F2021" i="4" s="1"/>
  <c r="E2020" i="4"/>
  <c r="BR111" i="2" s="1"/>
  <c r="E2019" i="4"/>
  <c r="F2019" i="4" s="1"/>
  <c r="BN111" i="2" s="1"/>
  <c r="F2018" i="4"/>
  <c r="BI111" i="2" s="1"/>
  <c r="E2018" i="4"/>
  <c r="E2017" i="4"/>
  <c r="F2017" i="4" s="1"/>
  <c r="H2017" i="4" s="1"/>
  <c r="BF111" i="2" s="1"/>
  <c r="C2010" i="4"/>
  <c r="C2011" i="4" s="1"/>
  <c r="C2012" i="4" s="1"/>
  <c r="C2013" i="4" s="1"/>
  <c r="C2014" i="4" s="1"/>
  <c r="C2015" i="4" s="1"/>
  <c r="C2016" i="4" s="1"/>
  <c r="C2017" i="4" s="1"/>
  <c r="C2018" i="4" s="1"/>
  <c r="C2019" i="4" s="1"/>
  <c r="C2020" i="4" s="1"/>
  <c r="C2021" i="4" s="1"/>
  <c r="F2003" i="4"/>
  <c r="E2003" i="4"/>
  <c r="BW110" i="2" s="1"/>
  <c r="E2002" i="4"/>
  <c r="F2002" i="4" s="1"/>
  <c r="BS110" i="2" s="1"/>
  <c r="E2001" i="4"/>
  <c r="BM110" i="2" s="1"/>
  <c r="E2000" i="4"/>
  <c r="F2000" i="4" s="1"/>
  <c r="BI110" i="2" s="1"/>
  <c r="E1999" i="4"/>
  <c r="BC110" i="2" s="1"/>
  <c r="C1993" i="4"/>
  <c r="C1994" i="4" s="1"/>
  <c r="C1995" i="4" s="1"/>
  <c r="C1996" i="4" s="1"/>
  <c r="C1997" i="4" s="1"/>
  <c r="C1998" i="4" s="1"/>
  <c r="C1999" i="4" s="1"/>
  <c r="C2000" i="4" s="1"/>
  <c r="C2001" i="4" s="1"/>
  <c r="C2002" i="4" s="1"/>
  <c r="C2003" i="4" s="1"/>
  <c r="C1992" i="4"/>
  <c r="E1985" i="4"/>
  <c r="F1985" i="4" s="1"/>
  <c r="F1984" i="4"/>
  <c r="E1984" i="4"/>
  <c r="BR109" i="2" s="1"/>
  <c r="F1983" i="4"/>
  <c r="BN109" i="2" s="1"/>
  <c r="E1983" i="4"/>
  <c r="BM109" i="2" s="1"/>
  <c r="E1982" i="4"/>
  <c r="F1982" i="4" s="1"/>
  <c r="E1981" i="4"/>
  <c r="BC109" i="2" s="1"/>
  <c r="C1974" i="4"/>
  <c r="C1975" i="4" s="1"/>
  <c r="C1976" i="4" s="1"/>
  <c r="C1977" i="4" s="1"/>
  <c r="C1978" i="4" s="1"/>
  <c r="C1979" i="4" s="1"/>
  <c r="C1980" i="4" s="1"/>
  <c r="C1981" i="4" s="1"/>
  <c r="C1982" i="4" s="1"/>
  <c r="C1983" i="4" s="1"/>
  <c r="C1984" i="4" s="1"/>
  <c r="C1985" i="4" s="1"/>
  <c r="E1967" i="4"/>
  <c r="F1967" i="4" s="1"/>
  <c r="BX108" i="2" s="1"/>
  <c r="E1966" i="4"/>
  <c r="F1966" i="4" s="1"/>
  <c r="BS108" i="2" s="1"/>
  <c r="F1965" i="4"/>
  <c r="E1965" i="4"/>
  <c r="BM108" i="2" s="1"/>
  <c r="E1964" i="4"/>
  <c r="BH108" i="2" s="1"/>
  <c r="E1963" i="4"/>
  <c r="F1963" i="4" s="1"/>
  <c r="H1963" i="4" s="1"/>
  <c r="BF108" i="2" s="1"/>
  <c r="C1956" i="4"/>
  <c r="C1957" i="4" s="1"/>
  <c r="C1958" i="4" s="1"/>
  <c r="C1959" i="4" s="1"/>
  <c r="C1960" i="4" s="1"/>
  <c r="C1961" i="4" s="1"/>
  <c r="C1962" i="4" s="1"/>
  <c r="C1963" i="4" s="1"/>
  <c r="C1964" i="4" s="1"/>
  <c r="C1965" i="4" s="1"/>
  <c r="C1966" i="4" s="1"/>
  <c r="C1967" i="4" s="1"/>
  <c r="O18" i="6"/>
  <c r="CU18" i="6"/>
  <c r="DE19" i="6"/>
  <c r="DE20" i="6" s="1"/>
  <c r="DE21" i="6" s="1"/>
  <c r="DE22" i="6" s="1"/>
  <c r="DD19" i="6"/>
  <c r="DD20" i="6" s="1"/>
  <c r="DD21" i="6" s="1"/>
  <c r="DD22" i="6" s="1"/>
  <c r="DC19" i="6"/>
  <c r="DC20" i="6" s="1"/>
  <c r="DC21" i="6" s="1"/>
  <c r="DC22" i="6" s="1"/>
  <c r="DB19" i="6"/>
  <c r="DB20" i="6" s="1"/>
  <c r="DB21" i="6" s="1"/>
  <c r="DB22" i="6" s="1"/>
  <c r="G1967" i="4" s="1"/>
  <c r="BY108" i="2" s="1"/>
  <c r="DA19" i="6"/>
  <c r="DA20" i="6" s="1"/>
  <c r="DA21" i="6" s="1"/>
  <c r="DA22" i="6" s="1"/>
  <c r="CZ19" i="6"/>
  <c r="CZ20" i="6" s="1"/>
  <c r="CZ21" i="6" s="1"/>
  <c r="CZ22" i="6" s="1"/>
  <c r="G1931" i="4" s="1"/>
  <c r="AO836" i="4" l="1"/>
  <c r="D1486" i="4" s="1"/>
  <c r="AO828" i="4"/>
  <c r="D1342" i="4" s="1"/>
  <c r="AN841" i="4"/>
  <c r="D1072" i="4" s="1"/>
  <c r="AO837" i="4"/>
  <c r="D1504" i="4" s="1"/>
  <c r="AN833" i="4"/>
  <c r="D946" i="4" s="1"/>
  <c r="AO838" i="4"/>
  <c r="AO830" i="4"/>
  <c r="D1378" i="4" s="1"/>
  <c r="D1054" i="4"/>
  <c r="AN839" i="4"/>
  <c r="D1036" i="4" s="1"/>
  <c r="AO839" i="4"/>
  <c r="AO834" i="4"/>
  <c r="AN834" i="4"/>
  <c r="AM842" i="4"/>
  <c r="AO827" i="4"/>
  <c r="AN827" i="4"/>
  <c r="AO832" i="4"/>
  <c r="D1414" i="4" s="1"/>
  <c r="AN832" i="4"/>
  <c r="D928" i="4" s="1"/>
  <c r="AN840" i="4"/>
  <c r="D1612" i="4" s="1"/>
  <c r="AO840" i="4"/>
  <c r="D1630" i="4" s="1"/>
  <c r="AO835" i="4"/>
  <c r="D1468" i="4" s="1"/>
  <c r="AN835" i="4"/>
  <c r="D982" i="4" s="1"/>
  <c r="H1985" i="4"/>
  <c r="BZ109" i="2" s="1"/>
  <c r="BX109" i="2"/>
  <c r="F2001" i="4"/>
  <c r="BN110" i="2" s="1"/>
  <c r="BD108" i="2"/>
  <c r="BW109" i="2"/>
  <c r="F1964" i="4"/>
  <c r="F2020" i="4"/>
  <c r="G1964" i="4"/>
  <c r="BJ108" i="2" s="1"/>
  <c r="G2001" i="4"/>
  <c r="BO110" i="2" s="1"/>
  <c r="BM111" i="2"/>
  <c r="G1928" i="4"/>
  <c r="H2003" i="4"/>
  <c r="BZ110" i="2" s="1"/>
  <c r="H2021" i="4"/>
  <c r="BZ111" i="2" s="1"/>
  <c r="G1965" i="4"/>
  <c r="BO108" i="2" s="1"/>
  <c r="G2002" i="4"/>
  <c r="BT110" i="2" s="1"/>
  <c r="BX110" i="2"/>
  <c r="BR110" i="2"/>
  <c r="G1929" i="4"/>
  <c r="F1981" i="4"/>
  <c r="BD109" i="2" s="1"/>
  <c r="H1965" i="4"/>
  <c r="BP108" i="2" s="1"/>
  <c r="F1999" i="4"/>
  <c r="G1982" i="4"/>
  <c r="BJ109" i="2" s="1"/>
  <c r="G1947" i="4"/>
  <c r="BO107" i="2" s="1"/>
  <c r="BC108" i="2"/>
  <c r="G1930" i="4"/>
  <c r="G1966" i="4"/>
  <c r="BT108" i="2" s="1"/>
  <c r="G1946" i="4"/>
  <c r="BJ107" i="2" s="1"/>
  <c r="H1967" i="4"/>
  <c r="BZ108" i="2" s="1"/>
  <c r="H1984" i="4"/>
  <c r="BU109" i="2" s="1"/>
  <c r="H2000" i="4"/>
  <c r="BK110" i="2" s="1"/>
  <c r="G1983" i="4"/>
  <c r="BO109" i="2" s="1"/>
  <c r="G1948" i="4"/>
  <c r="BT107" i="2" s="1"/>
  <c r="G2018" i="4"/>
  <c r="BJ111" i="2" s="1"/>
  <c r="BW111" i="2"/>
  <c r="BC111" i="2"/>
  <c r="H2018" i="4"/>
  <c r="BK111" i="2" s="1"/>
  <c r="H1981" i="4"/>
  <c r="BF109" i="2" s="1"/>
  <c r="H2001" i="4"/>
  <c r="BP110" i="2" s="1"/>
  <c r="H2019" i="4"/>
  <c r="BP111" i="2" s="1"/>
  <c r="H1966" i="4"/>
  <c r="BU108" i="2" s="1"/>
  <c r="D1361" i="4"/>
  <c r="D1362" i="4" s="1"/>
  <c r="D1363" i="4" s="1"/>
  <c r="D1364" i="4" s="1"/>
  <c r="D1365" i="4" s="1"/>
  <c r="D679" i="4"/>
  <c r="D680" i="4" s="1"/>
  <c r="D681" i="4" s="1"/>
  <c r="AJ19" i="6"/>
  <c r="AJ20" i="6" s="1"/>
  <c r="AJ21" i="6" s="1"/>
  <c r="AJ22" i="6" s="1"/>
  <c r="AJ18" i="6"/>
  <c r="DF19" i="6"/>
  <c r="DF20" i="6" s="1"/>
  <c r="DF21" i="6" s="1"/>
  <c r="DF22" i="6" s="1"/>
  <c r="D838" i="4" l="1"/>
  <c r="AN842" i="4"/>
  <c r="AO842" i="4"/>
  <c r="D1450" i="4"/>
  <c r="N1630" i="4" s="1"/>
  <c r="D964" i="4"/>
  <c r="H1982" i="4"/>
  <c r="BK109" i="2" s="1"/>
  <c r="H1999" i="4"/>
  <c r="BF110" i="2" s="1"/>
  <c r="BD110" i="2"/>
  <c r="H1964" i="4"/>
  <c r="BK108" i="2" s="1"/>
  <c r="BI108" i="2"/>
  <c r="H2020" i="4"/>
  <c r="BU111" i="2" s="1"/>
  <c r="BS111" i="2"/>
  <c r="H1983" i="4"/>
  <c r="BP109" i="2" s="1"/>
  <c r="H2002" i="4"/>
  <c r="BU110" i="2" s="1"/>
  <c r="I165" i="11"/>
  <c r="I164" i="11"/>
  <c r="I163" i="11"/>
  <c r="I162" i="11"/>
  <c r="K161" i="11"/>
  <c r="I161" i="11"/>
  <c r="I160" i="11"/>
  <c r="I159" i="11"/>
  <c r="I158" i="11"/>
  <c r="I148" i="11"/>
  <c r="I147" i="11"/>
  <c r="I134" i="11"/>
  <c r="I133" i="11"/>
  <c r="I132" i="11"/>
  <c r="K131"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5" i="11"/>
  <c r="I84" i="11"/>
  <c r="I83" i="11"/>
  <c r="I82" i="11"/>
  <c r="I81" i="11"/>
  <c r="I80" i="11"/>
  <c r="I79" i="11"/>
  <c r="I78" i="11"/>
  <c r="I77" i="11"/>
  <c r="I76" i="11"/>
  <c r="I75" i="11"/>
  <c r="I74" i="11"/>
  <c r="I72" i="11"/>
  <c r="I71" i="11"/>
  <c r="I70" i="11"/>
  <c r="I69" i="11"/>
  <c r="I68" i="11"/>
  <c r="I67" i="11"/>
  <c r="I66" i="11"/>
  <c r="I65" i="11"/>
  <c r="I64" i="11"/>
  <c r="I63" i="11"/>
  <c r="I61" i="11"/>
  <c r="I60"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K17" i="11"/>
  <c r="I17" i="11"/>
  <c r="I16" i="11"/>
  <c r="I15" i="11"/>
  <c r="I14" i="11"/>
  <c r="I12" i="11"/>
  <c r="I10" i="11"/>
  <c r="I9" i="11"/>
  <c r="I8" i="11"/>
  <c r="I7" i="11"/>
  <c r="I3" i="11"/>
  <c r="D1748" i="4" l="1"/>
  <c r="D1749" i="4"/>
  <c r="D1750" i="4"/>
  <c r="D1751" i="4"/>
  <c r="D1747" i="4"/>
  <c r="D713" i="4" l="1"/>
  <c r="D714" i="4" s="1"/>
  <c r="D715" i="4" s="1"/>
  <c r="D716" i="4" s="1"/>
  <c r="D717" i="4" s="1"/>
  <c r="P1751" i="4"/>
  <c r="P1750" i="4"/>
  <c r="Q1750" i="4" s="1"/>
  <c r="E1750" i="4" s="1"/>
  <c r="P1749" i="4"/>
  <c r="Q1749" i="4" s="1"/>
  <c r="E1749" i="4" s="1"/>
  <c r="P1748" i="4"/>
  <c r="Q1748" i="4" s="1"/>
  <c r="E1748" i="4" s="1"/>
  <c r="Q1751" i="4"/>
  <c r="E1751" i="4" s="1"/>
  <c r="P1747" i="4"/>
  <c r="Q1747" i="4"/>
  <c r="E1747" i="4" s="1"/>
  <c r="O1765" i="4"/>
  <c r="P1765" i="4"/>
  <c r="Q1765" i="4" s="1"/>
  <c r="E1765" i="4" s="1"/>
  <c r="O1766" i="4"/>
  <c r="P1766" i="4"/>
  <c r="Q1766" i="4" s="1"/>
  <c r="E1766" i="4" s="1"/>
  <c r="O1767" i="4"/>
  <c r="P1767" i="4"/>
  <c r="O1768" i="4"/>
  <c r="P1768" i="4"/>
  <c r="Q1768" i="4" s="1"/>
  <c r="E1768" i="4" s="1"/>
  <c r="O1769" i="4"/>
  <c r="P1769" i="4"/>
  <c r="Q1769" i="4"/>
  <c r="E1769" i="4" s="1"/>
  <c r="Q1767" i="4" l="1"/>
  <c r="E1767" i="4" s="1"/>
  <c r="O248" i="4"/>
  <c r="O249" i="4" s="1"/>
  <c r="O250" i="4" s="1"/>
  <c r="R222" i="4"/>
  <c r="O220" i="4" s="1"/>
  <c r="O251" i="4" l="1"/>
  <c r="O252" i="4" s="1"/>
  <c r="E1949" i="4"/>
  <c r="BW107" i="2" s="1"/>
  <c r="E1948" i="4"/>
  <c r="BR107" i="2" s="1"/>
  <c r="E1947" i="4"/>
  <c r="BM107" i="2" s="1"/>
  <c r="E1946" i="4"/>
  <c r="BH107" i="2" s="1"/>
  <c r="E1945" i="4"/>
  <c r="BC107" i="2" s="1"/>
  <c r="P796" i="4"/>
  <c r="P797" i="4" s="1"/>
  <c r="P798" i="4" s="1"/>
  <c r="P799" i="4" s="1"/>
  <c r="P800" i="4" s="1"/>
  <c r="P801" i="4" s="1"/>
  <c r="P802" i="4" s="1"/>
  <c r="P803" i="4" s="1"/>
  <c r="P804" i="4" s="1"/>
  <c r="P805" i="4" s="1"/>
  <c r="P806" i="4" s="1"/>
  <c r="P807" i="4" s="1"/>
  <c r="E1928" i="4"/>
  <c r="E1929" i="4"/>
  <c r="E1930" i="4"/>
  <c r="E1931" i="4"/>
  <c r="E1927" i="4"/>
  <c r="O221" i="4"/>
  <c r="O222" i="4"/>
  <c r="O219" i="4"/>
  <c r="P1606" i="4"/>
  <c r="P1607" i="4" s="1"/>
  <c r="P1608" i="4" s="1"/>
  <c r="P1609" i="4" s="1"/>
  <c r="P1610" i="4" s="1"/>
  <c r="P1611" i="4" s="1"/>
  <c r="P1612" i="4" s="1"/>
  <c r="P1613" i="4" s="1"/>
  <c r="P1614" i="4" s="1"/>
  <c r="P1615" i="4" s="1"/>
  <c r="P1616" i="4" s="1"/>
  <c r="P1617" i="4" s="1"/>
  <c r="O253" i="4" l="1"/>
  <c r="O223" i="4"/>
  <c r="P1066" i="4"/>
  <c r="P1067" i="4" s="1"/>
  <c r="P1068" i="4" s="1"/>
  <c r="P1069" i="4" s="1"/>
  <c r="P1070" i="4" s="1"/>
  <c r="P1071" i="4" s="1"/>
  <c r="P1072" i="4" s="1"/>
  <c r="P1073" i="4" s="1"/>
  <c r="P1074" i="4" s="1"/>
  <c r="P1075" i="4" s="1"/>
  <c r="P1076" i="4" s="1"/>
  <c r="P1077" i="4" s="1"/>
  <c r="P1048" i="4"/>
  <c r="P1049" i="4" s="1"/>
  <c r="P1050" i="4" s="1"/>
  <c r="P1051" i="4" s="1"/>
  <c r="P1052" i="4" s="1"/>
  <c r="P1053" i="4" s="1"/>
  <c r="P1054" i="4" s="1"/>
  <c r="P1055" i="4" s="1"/>
  <c r="P1056" i="4" s="1"/>
  <c r="P1057" i="4" s="1"/>
  <c r="P1058" i="4" s="1"/>
  <c r="P1059" i="4" s="1"/>
  <c r="P1030" i="4"/>
  <c r="P1031" i="4" s="1"/>
  <c r="P1032" i="4" s="1"/>
  <c r="P1033" i="4" s="1"/>
  <c r="P1034" i="4" s="1"/>
  <c r="P1035" i="4" s="1"/>
  <c r="P1036" i="4" s="1"/>
  <c r="P1037" i="4" s="1"/>
  <c r="P1038" i="4" s="1"/>
  <c r="P1039" i="4" s="1"/>
  <c r="P1040" i="4" s="1"/>
  <c r="P1041" i="4" s="1"/>
  <c r="P1012" i="4"/>
  <c r="P1013" i="4" s="1"/>
  <c r="P1014" i="4" s="1"/>
  <c r="P1015" i="4" s="1"/>
  <c r="P1016" i="4" s="1"/>
  <c r="P1017" i="4" s="1"/>
  <c r="P1018" i="4" s="1"/>
  <c r="P1019" i="4" s="1"/>
  <c r="P1020" i="4" s="1"/>
  <c r="P1021" i="4" s="1"/>
  <c r="P1022" i="4" s="1"/>
  <c r="P1023" i="4" s="1"/>
  <c r="P994" i="4"/>
  <c r="P995" i="4" s="1"/>
  <c r="P996" i="4" s="1"/>
  <c r="P997" i="4" s="1"/>
  <c r="P998" i="4" s="1"/>
  <c r="P999" i="4" s="1"/>
  <c r="P1000" i="4" s="1"/>
  <c r="P1001" i="4" s="1"/>
  <c r="P1002" i="4" s="1"/>
  <c r="P1003" i="4" s="1"/>
  <c r="P1004" i="4" s="1"/>
  <c r="P1005" i="4" s="1"/>
  <c r="P976" i="4"/>
  <c r="P977" i="4" s="1"/>
  <c r="P978" i="4" s="1"/>
  <c r="P979" i="4" s="1"/>
  <c r="P980" i="4" s="1"/>
  <c r="P981" i="4" s="1"/>
  <c r="P982" i="4" s="1"/>
  <c r="P983" i="4" s="1"/>
  <c r="P984" i="4" s="1"/>
  <c r="P985" i="4" s="1"/>
  <c r="P986" i="4" s="1"/>
  <c r="P987" i="4" s="1"/>
  <c r="P958" i="4"/>
  <c r="P959" i="4" s="1"/>
  <c r="P960" i="4" s="1"/>
  <c r="P961" i="4" s="1"/>
  <c r="P962" i="4" s="1"/>
  <c r="P963" i="4" s="1"/>
  <c r="P964" i="4" s="1"/>
  <c r="P965" i="4" s="1"/>
  <c r="P966" i="4" s="1"/>
  <c r="P967" i="4" s="1"/>
  <c r="P968" i="4" s="1"/>
  <c r="P969" i="4" s="1"/>
  <c r="P940" i="4"/>
  <c r="P941" i="4" s="1"/>
  <c r="P942" i="4" s="1"/>
  <c r="P943" i="4" s="1"/>
  <c r="P944" i="4" s="1"/>
  <c r="P945" i="4" s="1"/>
  <c r="P946" i="4" s="1"/>
  <c r="P947" i="4" s="1"/>
  <c r="P948" i="4" s="1"/>
  <c r="P949" i="4" s="1"/>
  <c r="P950" i="4" s="1"/>
  <c r="P951" i="4" s="1"/>
  <c r="P922" i="4"/>
  <c r="P923" i="4" s="1"/>
  <c r="P924" i="4" s="1"/>
  <c r="P925" i="4" s="1"/>
  <c r="P926" i="4" s="1"/>
  <c r="P927" i="4" s="1"/>
  <c r="P928" i="4" s="1"/>
  <c r="P929" i="4" s="1"/>
  <c r="P930" i="4" s="1"/>
  <c r="P931" i="4" s="1"/>
  <c r="P932" i="4" s="1"/>
  <c r="P933" i="4" s="1"/>
  <c r="P904" i="4"/>
  <c r="P905" i="4" s="1"/>
  <c r="P906" i="4" s="1"/>
  <c r="P907" i="4" s="1"/>
  <c r="P908" i="4" s="1"/>
  <c r="P909" i="4" s="1"/>
  <c r="P910" i="4" s="1"/>
  <c r="P911" i="4" s="1"/>
  <c r="P912" i="4" s="1"/>
  <c r="P913" i="4" s="1"/>
  <c r="P914" i="4" s="1"/>
  <c r="P915" i="4" s="1"/>
  <c r="P886" i="4"/>
  <c r="P887" i="4" s="1"/>
  <c r="P888" i="4" s="1"/>
  <c r="P889" i="4" s="1"/>
  <c r="P890" i="4" s="1"/>
  <c r="P891" i="4" s="1"/>
  <c r="P892" i="4" s="1"/>
  <c r="P893" i="4" s="1"/>
  <c r="P894" i="4" s="1"/>
  <c r="P895" i="4" s="1"/>
  <c r="P896" i="4" s="1"/>
  <c r="P897" i="4" s="1"/>
  <c r="P868" i="4"/>
  <c r="P869" i="4" s="1"/>
  <c r="P870" i="4" s="1"/>
  <c r="P871" i="4" s="1"/>
  <c r="P872" i="4" s="1"/>
  <c r="P873" i="4" s="1"/>
  <c r="P874" i="4" s="1"/>
  <c r="P875" i="4" s="1"/>
  <c r="P876" i="4" s="1"/>
  <c r="P877" i="4" s="1"/>
  <c r="P878" i="4" s="1"/>
  <c r="P879" i="4" s="1"/>
  <c r="P850" i="4"/>
  <c r="P851" i="4" s="1"/>
  <c r="P852" i="4" s="1"/>
  <c r="P853" i="4" s="1"/>
  <c r="P854" i="4" s="1"/>
  <c r="P855" i="4" s="1"/>
  <c r="P856" i="4" s="1"/>
  <c r="P857" i="4" s="1"/>
  <c r="P858" i="4" s="1"/>
  <c r="P859" i="4" s="1"/>
  <c r="P860" i="4" s="1"/>
  <c r="P861" i="4" s="1"/>
  <c r="P832" i="4"/>
  <c r="P833" i="4" s="1"/>
  <c r="P834" i="4" s="1"/>
  <c r="P835" i="4" s="1"/>
  <c r="P836" i="4" s="1"/>
  <c r="P837" i="4" s="1"/>
  <c r="P838" i="4" s="1"/>
  <c r="P839" i="4" s="1"/>
  <c r="P840" i="4" s="1"/>
  <c r="P841" i="4" s="1"/>
  <c r="P842" i="4" s="1"/>
  <c r="P843" i="4" s="1"/>
  <c r="W18" i="6" l="1"/>
  <c r="R18" i="6"/>
  <c r="J18" i="6"/>
  <c r="I18" i="6"/>
  <c r="H18" i="6"/>
  <c r="B18" i="6"/>
  <c r="G212" i="4" l="1"/>
  <c r="AZ19" i="2" s="1"/>
  <c r="F211" i="4"/>
  <c r="E211" i="4" s="1"/>
  <c r="F209" i="4"/>
  <c r="E209" i="4" s="1"/>
  <c r="F210" i="4"/>
  <c r="E210" i="4" s="1"/>
  <c r="D210" i="4"/>
  <c r="AU19" i="2"/>
  <c r="AS19" i="2"/>
  <c r="AP19" i="2"/>
  <c r="AN19" i="2"/>
  <c r="AK19" i="2"/>
  <c r="AI19" i="2"/>
  <c r="AF19" i="2"/>
  <c r="AD19" i="2"/>
  <c r="AA19" i="2"/>
  <c r="Y19" i="2"/>
  <c r="V19" i="2"/>
  <c r="T19" i="2"/>
  <c r="Q19" i="2"/>
  <c r="O19" i="2"/>
  <c r="L19" i="2"/>
  <c r="J19" i="2"/>
  <c r="G19" i="2"/>
  <c r="E19" i="2"/>
  <c r="BM19" i="2"/>
  <c r="BH19" i="2"/>
  <c r="BC19" i="2"/>
  <c r="AX19" i="2"/>
  <c r="BW19" i="2"/>
  <c r="BR19" i="2"/>
  <c r="D203" i="4"/>
  <c r="D204" i="4"/>
  <c r="D205" i="4"/>
  <c r="H211" i="4"/>
  <c r="D211" i="4"/>
  <c r="H210" i="4"/>
  <c r="H209" i="4"/>
  <c r="D209" i="4"/>
  <c r="H208" i="4"/>
  <c r="F208" i="4"/>
  <c r="E208" i="4" s="1"/>
  <c r="D208" i="4"/>
  <c r="H207" i="4"/>
  <c r="F207" i="4"/>
  <c r="E207" i="4" s="1"/>
  <c r="D207" i="4"/>
  <c r="H206" i="4"/>
  <c r="F206" i="4"/>
  <c r="E206" i="4" s="1"/>
  <c r="D206" i="4"/>
  <c r="C206" i="4"/>
  <c r="C207" i="4" s="1"/>
  <c r="C208" i="4" s="1"/>
  <c r="C209" i="4" s="1"/>
  <c r="C210" i="4" s="1"/>
  <c r="C211" i="4" s="1"/>
  <c r="C212" i="4" s="1"/>
  <c r="C213" i="4" s="1"/>
  <c r="C214" i="4" s="1"/>
  <c r="C215" i="4" s="1"/>
  <c r="C216" i="4" s="1"/>
  <c r="C217" i="4" s="1"/>
  <c r="H205" i="4"/>
  <c r="F205" i="4"/>
  <c r="E205" i="4" s="1"/>
  <c r="H204" i="4"/>
  <c r="F204" i="4"/>
  <c r="E204" i="4" s="1"/>
  <c r="H203" i="4"/>
  <c r="F203" i="4"/>
  <c r="G203" i="4" l="1"/>
  <c r="E203" i="4"/>
  <c r="G204" i="4"/>
  <c r="G206" i="4"/>
  <c r="G209" i="4"/>
  <c r="G211" i="4"/>
  <c r="G205" i="4"/>
  <c r="G210" i="4"/>
  <c r="G207" i="4"/>
  <c r="G208" i="4"/>
  <c r="AQ15" i="2"/>
  <c r="AP15" i="2" s="1"/>
  <c r="AN15" i="2"/>
  <c r="N1660" i="4" l="1"/>
  <c r="N1661" i="4" s="1"/>
  <c r="N1662" i="4" s="1"/>
  <c r="N1663" i="4" s="1"/>
  <c r="N1664" i="4" s="1"/>
  <c r="N1665" i="4" s="1"/>
  <c r="N1666" i="4" s="1"/>
  <c r="N1667" i="4" s="1"/>
  <c r="N1668" i="4" s="1"/>
  <c r="N1669" i="4" s="1"/>
  <c r="N1670" i="4" s="1"/>
  <c r="N1671" i="4" s="1"/>
  <c r="N314" i="4"/>
  <c r="N315" i="4" s="1"/>
  <c r="N316" i="4" s="1"/>
  <c r="N317" i="4" s="1"/>
  <c r="N318" i="4" s="1"/>
  <c r="N319" i="4" s="1"/>
  <c r="N320" i="4" s="1"/>
  <c r="N321" i="4" s="1"/>
  <c r="N322" i="4" s="1"/>
  <c r="N323" i="4" s="1"/>
  <c r="N324" i="4" s="1"/>
  <c r="N325" i="4" s="1"/>
  <c r="D1852" i="4"/>
  <c r="D1834" i="4"/>
  <c r="DL18" i="6"/>
  <c r="DL19" i="6" s="1"/>
  <c r="DK18" i="6"/>
  <c r="G1837" i="4" s="1"/>
  <c r="BE44" i="2" s="1"/>
  <c r="G1854" i="4"/>
  <c r="G1836" i="4"/>
  <c r="G1818" i="4"/>
  <c r="G1800" i="4"/>
  <c r="DJ18" i="6"/>
  <c r="DJ19" i="6" s="1"/>
  <c r="DI18" i="6"/>
  <c r="G1801" i="4" s="1"/>
  <c r="DI19" i="6"/>
  <c r="DI20" i="6" s="1"/>
  <c r="DI21" i="6" s="1"/>
  <c r="DI22" i="6" s="1"/>
  <c r="G1805" i="4" s="1"/>
  <c r="DH18" i="6"/>
  <c r="AZ45" i="2"/>
  <c r="AX45" i="2"/>
  <c r="AZ44" i="2"/>
  <c r="AX44" i="2"/>
  <c r="AZ43" i="2"/>
  <c r="AX43" i="2"/>
  <c r="BV43" i="2"/>
  <c r="BQ43" i="2"/>
  <c r="BL43" i="2"/>
  <c r="BG43" i="2"/>
  <c r="BB43" i="2"/>
  <c r="AU45" i="2"/>
  <c r="AS45" i="2"/>
  <c r="AP45" i="2"/>
  <c r="AN45" i="2"/>
  <c r="AK45" i="2"/>
  <c r="AI45" i="2"/>
  <c r="AF45" i="2"/>
  <c r="AD45" i="2"/>
  <c r="AA45" i="2"/>
  <c r="Y45" i="2"/>
  <c r="V45" i="2"/>
  <c r="T45" i="2"/>
  <c r="Q45" i="2"/>
  <c r="O45" i="2"/>
  <c r="L45" i="2"/>
  <c r="J45" i="2"/>
  <c r="G45" i="2"/>
  <c r="E45" i="2"/>
  <c r="AU44" i="2"/>
  <c r="AS44" i="2"/>
  <c r="AP44" i="2"/>
  <c r="AN44" i="2"/>
  <c r="AK44" i="2"/>
  <c r="AI44" i="2"/>
  <c r="AF44" i="2"/>
  <c r="AD44" i="2"/>
  <c r="AA44" i="2"/>
  <c r="Y44" i="2"/>
  <c r="V44" i="2"/>
  <c r="T44" i="2"/>
  <c r="Q44" i="2"/>
  <c r="O44" i="2"/>
  <c r="L44" i="2"/>
  <c r="J44" i="2"/>
  <c r="G44" i="2"/>
  <c r="E44" i="2"/>
  <c r="AU43" i="2"/>
  <c r="AS43" i="2"/>
  <c r="AP43" i="2"/>
  <c r="AN43" i="2"/>
  <c r="AK43" i="2"/>
  <c r="AI43" i="2"/>
  <c r="AF43" i="2"/>
  <c r="AD43" i="2"/>
  <c r="AA43" i="2"/>
  <c r="Y43" i="2"/>
  <c r="V43" i="2"/>
  <c r="T43" i="2"/>
  <c r="Q43" i="2"/>
  <c r="O43" i="2"/>
  <c r="L43" i="2"/>
  <c r="J43" i="2"/>
  <c r="G43" i="2"/>
  <c r="E43" i="2"/>
  <c r="D1817" i="4"/>
  <c r="F1817" i="4"/>
  <c r="H1817" i="4"/>
  <c r="F1816" i="4"/>
  <c r="E1816" i="4" s="1"/>
  <c r="H1816" i="4"/>
  <c r="D1816" i="4"/>
  <c r="D1815" i="4"/>
  <c r="F1815" i="4"/>
  <c r="E1815" i="4" s="1"/>
  <c r="H1815" i="4"/>
  <c r="H1814" i="4"/>
  <c r="F1814" i="4"/>
  <c r="E1814" i="4" s="1"/>
  <c r="D1814" i="4"/>
  <c r="D1813" i="4"/>
  <c r="F1813" i="4"/>
  <c r="E1813" i="4" s="1"/>
  <c r="H1813" i="4"/>
  <c r="H1812" i="4"/>
  <c r="F1812" i="4"/>
  <c r="E1812" i="4" s="1"/>
  <c r="D1812" i="4"/>
  <c r="H1835" i="4"/>
  <c r="F1835" i="4"/>
  <c r="E1835" i="4" s="1"/>
  <c r="D1835" i="4"/>
  <c r="F1834" i="4"/>
  <c r="E1834" i="4" s="1"/>
  <c r="H1834" i="4"/>
  <c r="H1833" i="4"/>
  <c r="F1833" i="4"/>
  <c r="D1833" i="4"/>
  <c r="H1853" i="4"/>
  <c r="H1852" i="4"/>
  <c r="H1851" i="4"/>
  <c r="D1848" i="4"/>
  <c r="BV44" i="2"/>
  <c r="BQ44" i="2"/>
  <c r="BL44" i="2"/>
  <c r="BG44" i="2"/>
  <c r="BB44" i="2"/>
  <c r="BV45" i="2"/>
  <c r="BQ45" i="2"/>
  <c r="BL45" i="2"/>
  <c r="BG45" i="2"/>
  <c r="BB45" i="2"/>
  <c r="F1853" i="4"/>
  <c r="F1852" i="4"/>
  <c r="E1852" i="4" s="1"/>
  <c r="F1851" i="4"/>
  <c r="E1851" i="4" s="1"/>
  <c r="D1853" i="4"/>
  <c r="D1851" i="4"/>
  <c r="H1850" i="4"/>
  <c r="F1850" i="4"/>
  <c r="E1850" i="4" s="1"/>
  <c r="D1850" i="4"/>
  <c r="H1849" i="4"/>
  <c r="F1849" i="4"/>
  <c r="E1849" i="4" s="1"/>
  <c r="D1849" i="4"/>
  <c r="H1848" i="4"/>
  <c r="F1848" i="4"/>
  <c r="E1848" i="4" s="1"/>
  <c r="C1848" i="4"/>
  <c r="C1849" i="4" s="1"/>
  <c r="C1850" i="4" s="1"/>
  <c r="C1851" i="4" s="1"/>
  <c r="C1852" i="4" s="1"/>
  <c r="C1853" i="4" s="1"/>
  <c r="C1854" i="4" s="1"/>
  <c r="C1855" i="4" s="1"/>
  <c r="C1856" i="4" s="1"/>
  <c r="C1857" i="4" s="1"/>
  <c r="C1858" i="4" s="1"/>
  <c r="C1859" i="4" s="1"/>
  <c r="H1847" i="4"/>
  <c r="F1847" i="4"/>
  <c r="E1847" i="4" s="1"/>
  <c r="D1847" i="4"/>
  <c r="H1846" i="4"/>
  <c r="F1846" i="4"/>
  <c r="D1846" i="4"/>
  <c r="H1845" i="4"/>
  <c r="F1845" i="4"/>
  <c r="E1845" i="4" s="1"/>
  <c r="D1845" i="4"/>
  <c r="H1832" i="4"/>
  <c r="F1832" i="4"/>
  <c r="E1832" i="4" s="1"/>
  <c r="D1832" i="4"/>
  <c r="H1831" i="4"/>
  <c r="F1831" i="4"/>
  <c r="D1831" i="4"/>
  <c r="H1830" i="4"/>
  <c r="F1830" i="4"/>
  <c r="E1830" i="4" s="1"/>
  <c r="D1830" i="4"/>
  <c r="C1830" i="4"/>
  <c r="C1831" i="4" s="1"/>
  <c r="C1832" i="4" s="1"/>
  <c r="C1833" i="4" s="1"/>
  <c r="C1834" i="4" s="1"/>
  <c r="C1835" i="4" s="1"/>
  <c r="C1836" i="4" s="1"/>
  <c r="C1837" i="4" s="1"/>
  <c r="C1838" i="4" s="1"/>
  <c r="C1839" i="4" s="1"/>
  <c r="C1840" i="4" s="1"/>
  <c r="C1841" i="4" s="1"/>
  <c r="H1829" i="4"/>
  <c r="F1829" i="4"/>
  <c r="E1829" i="4" s="1"/>
  <c r="D1829" i="4"/>
  <c r="H1828" i="4"/>
  <c r="F1828" i="4"/>
  <c r="D1828" i="4"/>
  <c r="H1827" i="4"/>
  <c r="F1827" i="4"/>
  <c r="D1827" i="4"/>
  <c r="E1825" i="4"/>
  <c r="G1812" i="4"/>
  <c r="C1812" i="4"/>
  <c r="C1813" i="4" s="1"/>
  <c r="C1814" i="4" s="1"/>
  <c r="C1815" i="4" s="1"/>
  <c r="C1816" i="4" s="1"/>
  <c r="C1817" i="4" s="1"/>
  <c r="C1818" i="4" s="1"/>
  <c r="C1819" i="4" s="1"/>
  <c r="C1820" i="4" s="1"/>
  <c r="C1821" i="4" s="1"/>
  <c r="C1822" i="4" s="1"/>
  <c r="C1823" i="4" s="1"/>
  <c r="H1811" i="4"/>
  <c r="F1811" i="4"/>
  <c r="E1811" i="4" s="1"/>
  <c r="D1811" i="4"/>
  <c r="H1810" i="4"/>
  <c r="F1810" i="4"/>
  <c r="D1810" i="4"/>
  <c r="H1809" i="4"/>
  <c r="F1809" i="4"/>
  <c r="E1809" i="4" s="1"/>
  <c r="D1809" i="4"/>
  <c r="E1807" i="4"/>
  <c r="O266" i="4"/>
  <c r="D266" i="4" s="1"/>
  <c r="G284" i="4"/>
  <c r="DH19" i="6" l="1"/>
  <c r="G213" i="4"/>
  <c r="BE19" i="2" s="1"/>
  <c r="G1804" i="4"/>
  <c r="G1810" i="4"/>
  <c r="G1831" i="4"/>
  <c r="G1827" i="4"/>
  <c r="E1831" i="4"/>
  <c r="G1845" i="4"/>
  <c r="G1847" i="4"/>
  <c r="G1833" i="4"/>
  <c r="G1816" i="4"/>
  <c r="G1851" i="4"/>
  <c r="G1846" i="4"/>
  <c r="G1852" i="4"/>
  <c r="G1830" i="4"/>
  <c r="G1848" i="4"/>
  <c r="G1850" i="4"/>
  <c r="G1849" i="4"/>
  <c r="DJ20" i="6"/>
  <c r="G1820" i="4"/>
  <c r="BJ43" i="2" s="1"/>
  <c r="DK19" i="6"/>
  <c r="G1819" i="4"/>
  <c r="BE43" i="2" s="1"/>
  <c r="G1803" i="4"/>
  <c r="G1802" i="4"/>
  <c r="G1855" i="4"/>
  <c r="BE45" i="2" s="1"/>
  <c r="O267" i="4"/>
  <c r="O268" i="4" s="1"/>
  <c r="D268" i="4" s="1"/>
  <c r="D214" i="4" s="1"/>
  <c r="BG19" i="2" s="1"/>
  <c r="G1835" i="4"/>
  <c r="G1817" i="4"/>
  <c r="G1832" i="4"/>
  <c r="G1834" i="4"/>
  <c r="G1856" i="4"/>
  <c r="BJ45" i="2" s="1"/>
  <c r="DL20" i="6"/>
  <c r="G1853" i="4"/>
  <c r="E1853" i="4"/>
  <c r="G1829" i="4"/>
  <c r="E1810" i="4"/>
  <c r="G1813" i="4"/>
  <c r="G1815" i="4"/>
  <c r="E1817" i="4"/>
  <c r="E1833" i="4"/>
  <c r="G1809" i="4"/>
  <c r="G1814" i="4"/>
  <c r="G1828" i="4"/>
  <c r="G1811" i="4"/>
  <c r="E1827" i="4"/>
  <c r="E1828" i="4"/>
  <c r="E1846" i="4"/>
  <c r="P1653" i="4"/>
  <c r="O1653" i="4"/>
  <c r="P1652" i="4"/>
  <c r="O1652" i="4"/>
  <c r="P1651" i="4"/>
  <c r="O1651" i="4"/>
  <c r="P1650" i="4"/>
  <c r="O1650" i="4"/>
  <c r="P1649" i="4"/>
  <c r="O1649" i="4"/>
  <c r="P1257" i="4"/>
  <c r="O1257" i="4"/>
  <c r="P1256" i="4"/>
  <c r="O1256" i="4"/>
  <c r="P1255" i="4"/>
  <c r="O1255" i="4"/>
  <c r="P1254" i="4"/>
  <c r="O1254" i="4"/>
  <c r="P1253" i="4"/>
  <c r="O1253" i="4"/>
  <c r="AC17" i="6"/>
  <c r="Z17" i="6"/>
  <c r="Q1256" i="4" l="1"/>
  <c r="DH20" i="6"/>
  <c r="G214" i="4"/>
  <c r="BJ19" i="2" s="1"/>
  <c r="Q1253" i="4"/>
  <c r="Q1255" i="4"/>
  <c r="Q1649" i="4"/>
  <c r="Q1653" i="4"/>
  <c r="Q1254" i="4"/>
  <c r="DJ21" i="6"/>
  <c r="G1821" i="4"/>
  <c r="BO43" i="2" s="1"/>
  <c r="G1838" i="4"/>
  <c r="BJ44" i="2" s="1"/>
  <c r="DK20" i="6"/>
  <c r="D267" i="4"/>
  <c r="D213" i="4" s="1"/>
  <c r="BB19" i="2" s="1"/>
  <c r="O269" i="4"/>
  <c r="D269" i="4" s="1"/>
  <c r="D215" i="4" s="1"/>
  <c r="BL19" i="2" s="1"/>
  <c r="G1857" i="4"/>
  <c r="BO45" i="2" s="1"/>
  <c r="DL21" i="6"/>
  <c r="Q1651" i="4"/>
  <c r="Q1257" i="4"/>
  <c r="Q1652" i="4"/>
  <c r="Q1650" i="4"/>
  <c r="P1787" i="4"/>
  <c r="O1787" i="4"/>
  <c r="D1787" i="4" s="1"/>
  <c r="P1786" i="4"/>
  <c r="O1786" i="4"/>
  <c r="D1786" i="4" s="1"/>
  <c r="P1785" i="4"/>
  <c r="O1785" i="4"/>
  <c r="D1785" i="4" s="1"/>
  <c r="P1784" i="4"/>
  <c r="O1784" i="4"/>
  <c r="D1784" i="4" s="1"/>
  <c r="P1783" i="4"/>
  <c r="O1783" i="4"/>
  <c r="D1783" i="4" s="1"/>
  <c r="D1768" i="4"/>
  <c r="D1767" i="4"/>
  <c r="D1766" i="4"/>
  <c r="D1765" i="4"/>
  <c r="BB107" i="2"/>
  <c r="BG106" i="2"/>
  <c r="Z1086" i="4"/>
  <c r="DH21" i="6" l="1"/>
  <c r="G215" i="4"/>
  <c r="BO19" i="2" s="1"/>
  <c r="Q1785" i="4"/>
  <c r="E1785" i="4" s="1"/>
  <c r="Q1784" i="4"/>
  <c r="E1784" i="4" s="1"/>
  <c r="Q1786" i="4"/>
  <c r="E1786" i="4" s="1"/>
  <c r="Q1783" i="4"/>
  <c r="E1783" i="4" s="1"/>
  <c r="DJ22" i="6"/>
  <c r="G1823" i="4" s="1"/>
  <c r="BY43" i="2" s="1"/>
  <c r="G1822" i="4"/>
  <c r="BT43" i="2" s="1"/>
  <c r="G1839" i="4"/>
  <c r="BO44" i="2" s="1"/>
  <c r="DK21" i="6"/>
  <c r="O270" i="4"/>
  <c r="D270" i="4" s="1"/>
  <c r="D216" i="4" s="1"/>
  <c r="BQ19" i="2" s="1"/>
  <c r="DL22" i="6"/>
  <c r="G1859" i="4" s="1"/>
  <c r="BY45" i="2" s="1"/>
  <c r="G1858" i="4"/>
  <c r="BT45" i="2" s="1"/>
  <c r="D1769" i="4"/>
  <c r="Q1787" i="4"/>
  <c r="E1787" i="4" s="1"/>
  <c r="F1949" i="4"/>
  <c r="BX107" i="2" s="1"/>
  <c r="F1948" i="4"/>
  <c r="BS107" i="2" s="1"/>
  <c r="F1947" i="4"/>
  <c r="BN107" i="2" s="1"/>
  <c r="F1946" i="4"/>
  <c r="BI107" i="2" s="1"/>
  <c r="F1945" i="4"/>
  <c r="BD107" i="2" s="1"/>
  <c r="C1938" i="4"/>
  <c r="C1939" i="4" s="1"/>
  <c r="C1940" i="4" s="1"/>
  <c r="C1941" i="4" s="1"/>
  <c r="C1942" i="4" s="1"/>
  <c r="C1943" i="4" s="1"/>
  <c r="C1944" i="4" s="1"/>
  <c r="C1945" i="4" s="1"/>
  <c r="C1946" i="4" s="1"/>
  <c r="C1947" i="4" s="1"/>
  <c r="C1948" i="4" s="1"/>
  <c r="C1949" i="4" s="1"/>
  <c r="D1227" i="4"/>
  <c r="F1227" i="4"/>
  <c r="F1226" i="4"/>
  <c r="D1226" i="4"/>
  <c r="H1225" i="4"/>
  <c r="F1225" i="4"/>
  <c r="D1225" i="4"/>
  <c r="F1209" i="4"/>
  <c r="D1209" i="4"/>
  <c r="H1208" i="4"/>
  <c r="F1208" i="4"/>
  <c r="D1208" i="4"/>
  <c r="H1207" i="4"/>
  <c r="F1207" i="4"/>
  <c r="D1207" i="4"/>
  <c r="H1191" i="4"/>
  <c r="F1191" i="4"/>
  <c r="D1191" i="4"/>
  <c r="D1190" i="4"/>
  <c r="F1190" i="4"/>
  <c r="H1190" i="4"/>
  <c r="H1189" i="4"/>
  <c r="F1189" i="4"/>
  <c r="D1189" i="4"/>
  <c r="H1173" i="4"/>
  <c r="F1173" i="4"/>
  <c r="D1173" i="4"/>
  <c r="D1172" i="4"/>
  <c r="F1172" i="4"/>
  <c r="H1172" i="4"/>
  <c r="H1171" i="4"/>
  <c r="F1171" i="4"/>
  <c r="D1171" i="4"/>
  <c r="H1155" i="4"/>
  <c r="H1154" i="4"/>
  <c r="H1153" i="4"/>
  <c r="DH22" i="6" l="1"/>
  <c r="G217" i="4" s="1"/>
  <c r="BY19" i="2" s="1"/>
  <c r="G216" i="4"/>
  <c r="BT19" i="2" s="1"/>
  <c r="DK22" i="6"/>
  <c r="G1841" i="4" s="1"/>
  <c r="BY44" i="2" s="1"/>
  <c r="G1840" i="4"/>
  <c r="BT44" i="2" s="1"/>
  <c r="O271" i="4"/>
  <c r="D271" i="4" s="1"/>
  <c r="D217" i="4" s="1"/>
  <c r="BV19" i="2" s="1"/>
  <c r="H1948" i="4"/>
  <c r="BU107" i="2" s="1"/>
  <c r="H1945" i="4"/>
  <c r="BF107" i="2" s="1"/>
  <c r="H1949" i="4"/>
  <c r="BZ107" i="2" s="1"/>
  <c r="H1946" i="4"/>
  <c r="BK107" i="2" s="1"/>
  <c r="H1947" i="4"/>
  <c r="BP107" i="2" s="1"/>
  <c r="P475" i="4" l="1"/>
  <c r="Q364" i="4"/>
  <c r="P14" i="4" l="1"/>
  <c r="DG19" i="6"/>
  <c r="DG20" i="6" s="1"/>
  <c r="DG21" i="6" s="1"/>
  <c r="DG22" i="6" s="1"/>
  <c r="F1155" i="4" l="1"/>
  <c r="F1154" i="4"/>
  <c r="F1153" i="4"/>
  <c r="D1155" i="4"/>
  <c r="D1154" i="4"/>
  <c r="D1153" i="4"/>
  <c r="H1137" i="4"/>
  <c r="H1136" i="4"/>
  <c r="H1135" i="4"/>
  <c r="F1137" i="4"/>
  <c r="F1136" i="4"/>
  <c r="F1135" i="4"/>
  <c r="D1137" i="4"/>
  <c r="D1136" i="4"/>
  <c r="D1135" i="4"/>
  <c r="H1119" i="4"/>
  <c r="H1118" i="4"/>
  <c r="H1117" i="4"/>
  <c r="F1119" i="4"/>
  <c r="F1118" i="4"/>
  <c r="F1117" i="4"/>
  <c r="D1119" i="4"/>
  <c r="D1118" i="4"/>
  <c r="D1117" i="4"/>
  <c r="H1101" i="4"/>
  <c r="H1100" i="4"/>
  <c r="H1099" i="4"/>
  <c r="F1101" i="4"/>
  <c r="F1100" i="4"/>
  <c r="F1099" i="4"/>
  <c r="D1101" i="4"/>
  <c r="D1100" i="4"/>
  <c r="D1099" i="4"/>
  <c r="H1083" i="4"/>
  <c r="H1082" i="4"/>
  <c r="H1081" i="4"/>
  <c r="F1083" i="4"/>
  <c r="F1082" i="4"/>
  <c r="F1081" i="4"/>
  <c r="D1083" i="4"/>
  <c r="D1082" i="4"/>
  <c r="D1081" i="4"/>
  <c r="H1065" i="4"/>
  <c r="H1064" i="4"/>
  <c r="H1063" i="4"/>
  <c r="F1065" i="4"/>
  <c r="F1064" i="4"/>
  <c r="F1063" i="4"/>
  <c r="D1065" i="4"/>
  <c r="D1064" i="4"/>
  <c r="D1063" i="4"/>
  <c r="H1047" i="4"/>
  <c r="H1046" i="4"/>
  <c r="H1045" i="4"/>
  <c r="F1047" i="4"/>
  <c r="F1046" i="4"/>
  <c r="F1045" i="4"/>
  <c r="D1047" i="4"/>
  <c r="D1046" i="4"/>
  <c r="D1045" i="4"/>
  <c r="H1029" i="4"/>
  <c r="H1028" i="4"/>
  <c r="H1027" i="4"/>
  <c r="F1029" i="4"/>
  <c r="F1028" i="4"/>
  <c r="F1027" i="4"/>
  <c r="D1029" i="4"/>
  <c r="D1028" i="4"/>
  <c r="D1027" i="4"/>
  <c r="H1011" i="4"/>
  <c r="H1010" i="4"/>
  <c r="H1009" i="4"/>
  <c r="F1011" i="4"/>
  <c r="F1010" i="4"/>
  <c r="F1009" i="4"/>
  <c r="D1011" i="4"/>
  <c r="D1010" i="4"/>
  <c r="D1009" i="4"/>
  <c r="H993" i="4"/>
  <c r="H992" i="4"/>
  <c r="H991" i="4"/>
  <c r="F993" i="4"/>
  <c r="F992" i="4"/>
  <c r="F991" i="4"/>
  <c r="D993" i="4"/>
  <c r="D992" i="4"/>
  <c r="D991" i="4"/>
  <c r="H975" i="4"/>
  <c r="H974" i="4"/>
  <c r="H973" i="4"/>
  <c r="F975" i="4"/>
  <c r="F974" i="4"/>
  <c r="F973" i="4"/>
  <c r="D975" i="4"/>
  <c r="D974" i="4"/>
  <c r="D973" i="4"/>
  <c r="H957" i="4"/>
  <c r="H956" i="4"/>
  <c r="H955" i="4"/>
  <c r="F957" i="4"/>
  <c r="F956" i="4"/>
  <c r="F955" i="4"/>
  <c r="D957" i="4"/>
  <c r="D956" i="4"/>
  <c r="D955" i="4"/>
  <c r="H939" i="4"/>
  <c r="H938" i="4"/>
  <c r="H937" i="4"/>
  <c r="F939" i="4"/>
  <c r="F938" i="4"/>
  <c r="F937" i="4"/>
  <c r="D939" i="4"/>
  <c r="D938" i="4"/>
  <c r="D937" i="4"/>
  <c r="H921" i="4"/>
  <c r="H920" i="4"/>
  <c r="H919" i="4"/>
  <c r="F921" i="4"/>
  <c r="F920" i="4"/>
  <c r="F919" i="4"/>
  <c r="D921" i="4"/>
  <c r="D920" i="4"/>
  <c r="D919" i="4"/>
  <c r="H903" i="4"/>
  <c r="H902" i="4"/>
  <c r="H901" i="4"/>
  <c r="F903" i="4"/>
  <c r="F902" i="4"/>
  <c r="F901" i="4"/>
  <c r="D903" i="4"/>
  <c r="D902" i="4"/>
  <c r="D901" i="4"/>
  <c r="H885" i="4"/>
  <c r="H884" i="4"/>
  <c r="H883" i="4"/>
  <c r="F885" i="4"/>
  <c r="F884" i="4"/>
  <c r="F883" i="4"/>
  <c r="D885" i="4"/>
  <c r="D884" i="4"/>
  <c r="D883" i="4"/>
  <c r="H867" i="4"/>
  <c r="H866" i="4"/>
  <c r="H865" i="4"/>
  <c r="F867" i="4"/>
  <c r="F866" i="4"/>
  <c r="F865" i="4"/>
  <c r="D867" i="4"/>
  <c r="D866" i="4"/>
  <c r="D865" i="4"/>
  <c r="H849" i="4"/>
  <c r="H848" i="4"/>
  <c r="H847" i="4"/>
  <c r="F849" i="4"/>
  <c r="F848" i="4"/>
  <c r="F847" i="4"/>
  <c r="D849" i="4"/>
  <c r="D848" i="4"/>
  <c r="D847" i="4"/>
  <c r="H831" i="4"/>
  <c r="H830" i="4"/>
  <c r="H829" i="4"/>
  <c r="F831" i="4"/>
  <c r="F830" i="4"/>
  <c r="F829" i="4"/>
  <c r="D831" i="4"/>
  <c r="D830" i="4"/>
  <c r="D829" i="4"/>
  <c r="H813" i="4"/>
  <c r="H812" i="4"/>
  <c r="H811" i="4"/>
  <c r="F813" i="4"/>
  <c r="F812" i="4"/>
  <c r="F811" i="4"/>
  <c r="D813" i="4"/>
  <c r="D812" i="4"/>
  <c r="D811" i="4"/>
  <c r="H795" i="4"/>
  <c r="H794" i="4"/>
  <c r="H793" i="4"/>
  <c r="F795" i="4"/>
  <c r="F794" i="4"/>
  <c r="F793" i="4"/>
  <c r="D795" i="4"/>
  <c r="Q795" i="4" s="1"/>
  <c r="D794" i="4"/>
  <c r="D793" i="4"/>
  <c r="H777" i="4"/>
  <c r="H776" i="4"/>
  <c r="H775" i="4"/>
  <c r="F777" i="4"/>
  <c r="F776" i="4"/>
  <c r="F775" i="4"/>
  <c r="D777" i="4"/>
  <c r="D776" i="4"/>
  <c r="D775" i="4"/>
  <c r="H759" i="4"/>
  <c r="H758" i="4"/>
  <c r="H757" i="4"/>
  <c r="F759" i="4"/>
  <c r="F758" i="4"/>
  <c r="F757" i="4"/>
  <c r="D759" i="4"/>
  <c r="D758" i="4"/>
  <c r="D757" i="4"/>
  <c r="H741" i="4"/>
  <c r="H740" i="4"/>
  <c r="H739" i="4"/>
  <c r="F741" i="4"/>
  <c r="F740" i="4"/>
  <c r="F739" i="4"/>
  <c r="D741" i="4"/>
  <c r="D740" i="4"/>
  <c r="D739" i="4"/>
  <c r="H723" i="4"/>
  <c r="H722" i="4"/>
  <c r="H721" i="4"/>
  <c r="F723" i="4"/>
  <c r="F722" i="4"/>
  <c r="F721" i="4"/>
  <c r="D723" i="4"/>
  <c r="D722" i="4"/>
  <c r="D721" i="4"/>
  <c r="H705" i="4"/>
  <c r="H704" i="4"/>
  <c r="H703" i="4"/>
  <c r="F705" i="4"/>
  <c r="F704" i="4"/>
  <c r="F703" i="4"/>
  <c r="D705" i="4"/>
  <c r="D704" i="4"/>
  <c r="D703" i="4"/>
  <c r="H687" i="4"/>
  <c r="H686" i="4"/>
  <c r="H685" i="4"/>
  <c r="F687" i="4"/>
  <c r="F686" i="4"/>
  <c r="F685" i="4"/>
  <c r="D687" i="4"/>
  <c r="D686" i="4"/>
  <c r="D685" i="4"/>
  <c r="H669" i="4"/>
  <c r="H668" i="4"/>
  <c r="H667" i="4"/>
  <c r="F669" i="4"/>
  <c r="F668" i="4"/>
  <c r="F667" i="4"/>
  <c r="D669" i="4"/>
  <c r="D668" i="4"/>
  <c r="D667" i="4"/>
  <c r="H651" i="4"/>
  <c r="H650" i="4"/>
  <c r="H649" i="4"/>
  <c r="F651" i="4"/>
  <c r="F650" i="4"/>
  <c r="F649" i="4"/>
  <c r="D651" i="4"/>
  <c r="D650" i="4"/>
  <c r="D649" i="4"/>
  <c r="H633" i="4"/>
  <c r="H632" i="4"/>
  <c r="H631" i="4"/>
  <c r="F633" i="4"/>
  <c r="F632" i="4"/>
  <c r="F631" i="4"/>
  <c r="D633" i="4"/>
  <c r="D632" i="4"/>
  <c r="D631" i="4"/>
  <c r="H615" i="4"/>
  <c r="H614" i="4"/>
  <c r="H613" i="4"/>
  <c r="F615" i="4"/>
  <c r="F614" i="4"/>
  <c r="F613" i="4"/>
  <c r="D615" i="4"/>
  <c r="D614" i="4"/>
  <c r="D613" i="4"/>
  <c r="H597" i="4"/>
  <c r="H596" i="4"/>
  <c r="H595" i="4"/>
  <c r="F597" i="4"/>
  <c r="F596" i="4"/>
  <c r="F595" i="4"/>
  <c r="D597" i="4"/>
  <c r="D596" i="4"/>
  <c r="D595" i="4"/>
  <c r="H579" i="4"/>
  <c r="H578" i="4"/>
  <c r="H577" i="4"/>
  <c r="F579" i="4"/>
  <c r="F578" i="4"/>
  <c r="F577" i="4"/>
  <c r="D579" i="4"/>
  <c r="D578" i="4"/>
  <c r="D577" i="4"/>
  <c r="H548" i="4"/>
  <c r="H547" i="4"/>
  <c r="H546" i="4"/>
  <c r="F548" i="4"/>
  <c r="F547" i="4"/>
  <c r="F546" i="4"/>
  <c r="D548" i="4"/>
  <c r="D547" i="4"/>
  <c r="D546" i="4"/>
  <c r="D535" i="4"/>
  <c r="D534" i="4"/>
  <c r="F535" i="4"/>
  <c r="F534" i="4"/>
  <c r="H535" i="4"/>
  <c r="H534" i="4"/>
  <c r="H533" i="4"/>
  <c r="F533" i="4"/>
  <c r="D533" i="4"/>
  <c r="F516" i="4"/>
  <c r="D516" i="4"/>
  <c r="D517" i="4"/>
  <c r="F517" i="4"/>
  <c r="H517" i="4"/>
  <c r="H516" i="4"/>
  <c r="H515" i="4"/>
  <c r="F515" i="4"/>
  <c r="D515" i="4"/>
  <c r="H499" i="4"/>
  <c r="F499" i="4"/>
  <c r="D499" i="4"/>
  <c r="D498" i="4"/>
  <c r="F498" i="4"/>
  <c r="H498" i="4"/>
  <c r="H497" i="4"/>
  <c r="F497" i="4"/>
  <c r="D497" i="4"/>
  <c r="H486" i="4"/>
  <c r="F486" i="4"/>
  <c r="D486" i="4"/>
  <c r="D485" i="4"/>
  <c r="F485" i="4"/>
  <c r="H485" i="4"/>
  <c r="H484" i="4"/>
  <c r="F484" i="4"/>
  <c r="D484" i="4"/>
  <c r="H468" i="4"/>
  <c r="H467" i="4"/>
  <c r="H466" i="4"/>
  <c r="F468" i="4"/>
  <c r="F467" i="4"/>
  <c r="F466" i="4"/>
  <c r="D468" i="4"/>
  <c r="D467" i="4"/>
  <c r="D466" i="4"/>
  <c r="D450" i="4"/>
  <c r="D449" i="4"/>
  <c r="D448" i="4"/>
  <c r="F432" i="4"/>
  <c r="F431" i="4"/>
  <c r="F430" i="4"/>
  <c r="D431" i="4"/>
  <c r="D430" i="4"/>
  <c r="D432" i="4"/>
  <c r="H432" i="4"/>
  <c r="H431" i="4"/>
  <c r="H430" i="4"/>
  <c r="H414" i="4"/>
  <c r="H413" i="4"/>
  <c r="H412" i="4"/>
  <c r="F414" i="4"/>
  <c r="F413" i="4"/>
  <c r="F412" i="4"/>
  <c r="D414" i="4"/>
  <c r="D413" i="4"/>
  <c r="D412" i="4"/>
  <c r="H401" i="4"/>
  <c r="F401" i="4"/>
  <c r="D401" i="4"/>
  <c r="H400" i="4"/>
  <c r="F400" i="4"/>
  <c r="D400" i="4"/>
  <c r="H399" i="4"/>
  <c r="F399" i="4"/>
  <c r="D399" i="4"/>
  <c r="G24" i="2"/>
  <c r="E24" i="2"/>
  <c r="D357" i="4"/>
  <c r="F357" i="4"/>
  <c r="H357" i="4"/>
  <c r="H356" i="4"/>
  <c r="F356" i="4"/>
  <c r="D356" i="4"/>
  <c r="H355" i="4"/>
  <c r="F355" i="4"/>
  <c r="D355" i="4"/>
  <c r="H344" i="4"/>
  <c r="F344" i="4"/>
  <c r="D344" i="4"/>
  <c r="F343" i="4"/>
  <c r="D343" i="4"/>
  <c r="H343" i="4"/>
  <c r="H342" i="4"/>
  <c r="F342" i="4"/>
  <c r="D342" i="4"/>
  <c r="D313" i="4"/>
  <c r="D312" i="4"/>
  <c r="F313" i="4"/>
  <c r="F312" i="4"/>
  <c r="H313" i="4"/>
  <c r="H312" i="4"/>
  <c r="H311" i="4"/>
  <c r="F311" i="4"/>
  <c r="D311" i="4"/>
  <c r="H295" i="4"/>
  <c r="F295" i="4"/>
  <c r="D295" i="4"/>
  <c r="D294" i="4"/>
  <c r="F294" i="4"/>
  <c r="H294" i="4"/>
  <c r="H293" i="4"/>
  <c r="F293" i="4"/>
  <c r="D293" i="4"/>
  <c r="H277" i="4"/>
  <c r="H276" i="4"/>
  <c r="H275" i="4"/>
  <c r="F277" i="4"/>
  <c r="F276" i="4"/>
  <c r="F275" i="4"/>
  <c r="D277" i="4"/>
  <c r="D276" i="4"/>
  <c r="D275" i="4"/>
  <c r="H259" i="4"/>
  <c r="H258" i="4"/>
  <c r="H257" i="4"/>
  <c r="F259" i="4"/>
  <c r="F258" i="4"/>
  <c r="F257" i="4"/>
  <c r="D259" i="4"/>
  <c r="D258" i="4"/>
  <c r="D257" i="4"/>
  <c r="H241" i="4"/>
  <c r="H240" i="4"/>
  <c r="H239" i="4"/>
  <c r="F241" i="4"/>
  <c r="F240" i="4"/>
  <c r="F239" i="4"/>
  <c r="D241" i="4"/>
  <c r="D240" i="4"/>
  <c r="D239" i="4"/>
  <c r="H223" i="4"/>
  <c r="H222" i="4"/>
  <c r="H221" i="4"/>
  <c r="F223" i="4"/>
  <c r="F222" i="4"/>
  <c r="F221" i="4"/>
  <c r="D223" i="4"/>
  <c r="D222" i="4"/>
  <c r="D221" i="4"/>
  <c r="H187" i="4"/>
  <c r="F187" i="4"/>
  <c r="D187" i="4"/>
  <c r="D186" i="4"/>
  <c r="Q18" i="2"/>
  <c r="O18" i="2"/>
  <c r="F186" i="4"/>
  <c r="H186" i="4"/>
  <c r="H185" i="4"/>
  <c r="F185" i="4"/>
  <c r="D185" i="4"/>
  <c r="H169" i="4"/>
  <c r="H168" i="4"/>
  <c r="H167" i="4"/>
  <c r="F169" i="4"/>
  <c r="F168" i="4"/>
  <c r="F167" i="4"/>
  <c r="D169" i="4"/>
  <c r="D168" i="4"/>
  <c r="D167" i="4"/>
  <c r="H133" i="4"/>
  <c r="H132" i="4"/>
  <c r="H131" i="4"/>
  <c r="F133" i="4"/>
  <c r="F132" i="4"/>
  <c r="F131" i="4"/>
  <c r="D133" i="4"/>
  <c r="D132" i="4"/>
  <c r="D131" i="4"/>
  <c r="H115" i="4"/>
  <c r="H114" i="4"/>
  <c r="H113" i="4"/>
  <c r="F115" i="4"/>
  <c r="F114" i="4"/>
  <c r="F113" i="4"/>
  <c r="H97" i="4"/>
  <c r="H96" i="4"/>
  <c r="H95" i="4"/>
  <c r="F97" i="4"/>
  <c r="F96" i="4"/>
  <c r="F95" i="4"/>
  <c r="D97" i="4"/>
  <c r="D96" i="4"/>
  <c r="D95" i="4"/>
  <c r="D79" i="4"/>
  <c r="D78" i="4"/>
  <c r="D77" i="4"/>
  <c r="F79" i="4"/>
  <c r="F78" i="4"/>
  <c r="F77" i="4"/>
  <c r="H79" i="4"/>
  <c r="H78" i="4"/>
  <c r="H77" i="4"/>
  <c r="D43" i="4"/>
  <c r="D42" i="4"/>
  <c r="D41" i="4"/>
  <c r="F43" i="4"/>
  <c r="F42" i="4"/>
  <c r="F41" i="4"/>
  <c r="H43" i="4"/>
  <c r="H42" i="4"/>
  <c r="H41" i="4"/>
  <c r="H25" i="4"/>
  <c r="F25" i="4"/>
  <c r="D25" i="4"/>
  <c r="H24" i="4"/>
  <c r="F24" i="4"/>
  <c r="D24" i="4"/>
  <c r="H23" i="4"/>
  <c r="F23" i="4"/>
  <c r="D23" i="4"/>
  <c r="H7" i="4"/>
  <c r="F7" i="4"/>
  <c r="D7" i="4"/>
  <c r="H6" i="4"/>
  <c r="F6" i="4"/>
  <c r="D6" i="4"/>
  <c r="H5" i="4"/>
  <c r="F5" i="4"/>
  <c r="D5" i="4"/>
  <c r="Q94" i="2"/>
  <c r="O94" i="2"/>
  <c r="L94" i="2"/>
  <c r="J94" i="2"/>
  <c r="G94" i="2"/>
  <c r="E94" i="2"/>
  <c r="G114" i="2"/>
  <c r="E114" i="2"/>
  <c r="Q42" i="2"/>
  <c r="O42" i="2"/>
  <c r="Q41" i="2"/>
  <c r="O41" i="2"/>
  <c r="L42" i="2"/>
  <c r="J42" i="2"/>
  <c r="L41" i="2"/>
  <c r="J41" i="2"/>
  <c r="G42" i="2"/>
  <c r="E42" i="2"/>
  <c r="G41" i="2"/>
  <c r="E41" i="2"/>
  <c r="Q38" i="2"/>
  <c r="O38" i="2"/>
  <c r="Q6" i="2"/>
  <c r="O6" i="2"/>
  <c r="L7" i="2"/>
  <c r="J7" i="2"/>
  <c r="L6" i="2"/>
  <c r="J6" i="2"/>
  <c r="G7" i="2"/>
  <c r="E7" i="2"/>
  <c r="G6" i="2"/>
  <c r="E6" i="2"/>
  <c r="G5" i="2"/>
  <c r="E5" i="2"/>
  <c r="Q22" i="2"/>
  <c r="O22" i="2"/>
  <c r="L22" i="2"/>
  <c r="J22" i="2"/>
  <c r="L21" i="2"/>
  <c r="J21" i="2"/>
  <c r="L18" i="2"/>
  <c r="J18" i="2"/>
  <c r="G18" i="2"/>
  <c r="E18" i="2"/>
  <c r="G21" i="2"/>
  <c r="E21" i="2"/>
  <c r="G23" i="2"/>
  <c r="E23" i="2"/>
  <c r="G32" i="2"/>
  <c r="E32" i="2"/>
  <c r="G31" i="2"/>
  <c r="E31" i="2"/>
  <c r="G30" i="2"/>
  <c r="E30" i="2"/>
  <c r="G29" i="2"/>
  <c r="E29" i="2"/>
  <c r="L32" i="2"/>
  <c r="J32" i="2"/>
  <c r="L31" i="2"/>
  <c r="J31" i="2"/>
  <c r="L30" i="2"/>
  <c r="J30" i="2"/>
  <c r="L29" i="2"/>
  <c r="J29" i="2"/>
  <c r="Q32" i="2"/>
  <c r="O32" i="2"/>
  <c r="Q31" i="2"/>
  <c r="O31" i="2"/>
  <c r="Q30" i="2"/>
  <c r="O30" i="2"/>
  <c r="Q29" i="2"/>
  <c r="O29" i="2"/>
  <c r="Q62" i="2"/>
  <c r="O62" i="2"/>
  <c r="L62" i="2"/>
  <c r="J62" i="2"/>
  <c r="G62" i="2"/>
  <c r="E62" i="2"/>
  <c r="Q89" i="2"/>
  <c r="O89" i="2"/>
  <c r="L89" i="2"/>
  <c r="J89" i="2"/>
  <c r="G89" i="2"/>
  <c r="E89" i="2"/>
  <c r="AF84" i="2"/>
  <c r="AD84" i="2"/>
  <c r="AF83" i="2"/>
  <c r="AD83" i="2"/>
  <c r="AF82" i="2"/>
  <c r="AD82" i="2"/>
  <c r="AF81" i="2"/>
  <c r="AD81" i="2"/>
  <c r="AF80" i="2"/>
  <c r="AD80" i="2"/>
  <c r="AF79" i="2"/>
  <c r="AD79" i="2"/>
  <c r="AF78" i="2"/>
  <c r="AD78" i="2"/>
  <c r="AF77" i="2"/>
  <c r="AD77" i="2"/>
  <c r="AF76" i="2"/>
  <c r="AD76" i="2"/>
  <c r="AF75" i="2"/>
  <c r="AD75" i="2"/>
  <c r="AF74" i="2"/>
  <c r="AD74" i="2"/>
  <c r="AF73" i="2"/>
  <c r="AD73" i="2"/>
  <c r="AF72" i="2"/>
  <c r="AD72" i="2"/>
  <c r="AF71" i="2"/>
  <c r="AD71" i="2"/>
  <c r="AF70" i="2"/>
  <c r="AD70" i="2"/>
  <c r="AA84" i="2"/>
  <c r="Y84" i="2"/>
  <c r="AA83" i="2"/>
  <c r="Y83" i="2"/>
  <c r="AA82" i="2"/>
  <c r="Y82" i="2"/>
  <c r="AA81" i="2"/>
  <c r="Y81" i="2"/>
  <c r="AA80" i="2"/>
  <c r="Y80" i="2"/>
  <c r="AA79" i="2"/>
  <c r="Y79" i="2"/>
  <c r="AA78" i="2"/>
  <c r="Y78" i="2"/>
  <c r="AA77" i="2"/>
  <c r="Y77" i="2"/>
  <c r="AA76" i="2"/>
  <c r="Y76" i="2"/>
  <c r="AA75" i="2"/>
  <c r="Y75" i="2"/>
  <c r="AA74" i="2"/>
  <c r="Y74" i="2"/>
  <c r="AA73" i="2"/>
  <c r="Y73" i="2"/>
  <c r="AA72" i="2"/>
  <c r="Y72" i="2"/>
  <c r="AA71" i="2"/>
  <c r="Y71" i="2"/>
  <c r="AA70" i="2"/>
  <c r="Y70" i="2"/>
  <c r="V84" i="2"/>
  <c r="T84" i="2"/>
  <c r="V83" i="2"/>
  <c r="T83" i="2"/>
  <c r="V82" i="2"/>
  <c r="T82" i="2"/>
  <c r="V81" i="2"/>
  <c r="T81" i="2"/>
  <c r="V80" i="2"/>
  <c r="T80" i="2"/>
  <c r="V79" i="2"/>
  <c r="T79" i="2"/>
  <c r="V78" i="2"/>
  <c r="T78" i="2"/>
  <c r="V77" i="2"/>
  <c r="T77" i="2"/>
  <c r="V76" i="2"/>
  <c r="T76" i="2"/>
  <c r="V75" i="2"/>
  <c r="T75" i="2"/>
  <c r="V74" i="2"/>
  <c r="T74" i="2"/>
  <c r="V73" i="2"/>
  <c r="T73" i="2"/>
  <c r="V72" i="2"/>
  <c r="T72" i="2"/>
  <c r="V71" i="2"/>
  <c r="T71" i="2"/>
  <c r="V70" i="2"/>
  <c r="T70" i="2"/>
  <c r="Q84" i="2"/>
  <c r="O84" i="2"/>
  <c r="Q83" i="2"/>
  <c r="O83" i="2"/>
  <c r="Q82" i="2"/>
  <c r="O82" i="2"/>
  <c r="Q81" i="2"/>
  <c r="O81" i="2"/>
  <c r="Q80" i="2"/>
  <c r="O80" i="2"/>
  <c r="Q79" i="2"/>
  <c r="O79" i="2"/>
  <c r="Q78" i="2"/>
  <c r="O78" i="2"/>
  <c r="Q77" i="2"/>
  <c r="O77" i="2"/>
  <c r="Q76" i="2"/>
  <c r="O76" i="2"/>
  <c r="Q75" i="2"/>
  <c r="O75" i="2"/>
  <c r="Q74" i="2"/>
  <c r="O74" i="2"/>
  <c r="Q73" i="2"/>
  <c r="O73" i="2"/>
  <c r="Q72" i="2"/>
  <c r="O72" i="2"/>
  <c r="Q71" i="2"/>
  <c r="O71" i="2"/>
  <c r="Q70" i="2"/>
  <c r="O70" i="2"/>
  <c r="L84" i="2"/>
  <c r="J84" i="2"/>
  <c r="L83" i="2"/>
  <c r="J83" i="2"/>
  <c r="L82" i="2"/>
  <c r="J82" i="2"/>
  <c r="L81" i="2"/>
  <c r="J81" i="2"/>
  <c r="L80" i="2"/>
  <c r="J80" i="2"/>
  <c r="L79" i="2"/>
  <c r="J79" i="2"/>
  <c r="L78" i="2"/>
  <c r="J78" i="2"/>
  <c r="L77" i="2"/>
  <c r="J77" i="2"/>
  <c r="L76" i="2"/>
  <c r="J76" i="2"/>
  <c r="L75" i="2"/>
  <c r="J75" i="2"/>
  <c r="L74" i="2"/>
  <c r="J74" i="2"/>
  <c r="L73" i="2"/>
  <c r="J73" i="2"/>
  <c r="L72" i="2"/>
  <c r="J72" i="2"/>
  <c r="L71" i="2"/>
  <c r="J71" i="2"/>
  <c r="L70" i="2"/>
  <c r="J70" i="2"/>
  <c r="G84" i="2"/>
  <c r="E84" i="2"/>
  <c r="G83" i="2"/>
  <c r="E83" i="2"/>
  <c r="G82" i="2"/>
  <c r="E82" i="2"/>
  <c r="G81" i="2"/>
  <c r="E81" i="2"/>
  <c r="G80" i="2"/>
  <c r="E80" i="2"/>
  <c r="G79" i="2"/>
  <c r="E79" i="2"/>
  <c r="G78" i="2"/>
  <c r="E78" i="2"/>
  <c r="G77" i="2"/>
  <c r="E77" i="2"/>
  <c r="G76" i="2"/>
  <c r="E76" i="2"/>
  <c r="G75" i="2"/>
  <c r="E75" i="2"/>
  <c r="G74" i="2"/>
  <c r="E74" i="2"/>
  <c r="G73" i="2"/>
  <c r="E73" i="2"/>
  <c r="G72" i="2"/>
  <c r="E72" i="2"/>
  <c r="G71" i="2"/>
  <c r="E71" i="2"/>
  <c r="G70" i="2"/>
  <c r="E70" i="2"/>
  <c r="AZ114" i="2"/>
  <c r="AX114" i="2"/>
  <c r="AZ113" i="2"/>
  <c r="AX113" i="2"/>
  <c r="AZ112" i="2"/>
  <c r="AX112" i="2"/>
  <c r="AZ107" i="2"/>
  <c r="AX107" i="2"/>
  <c r="AZ106" i="2"/>
  <c r="AX106" i="2"/>
  <c r="AZ105" i="2"/>
  <c r="AX105" i="2"/>
  <c r="AZ104" i="2"/>
  <c r="AX104" i="2"/>
  <c r="AU114" i="2"/>
  <c r="AS114" i="2"/>
  <c r="AU113" i="2"/>
  <c r="AS113" i="2"/>
  <c r="AU112" i="2"/>
  <c r="AS112" i="2"/>
  <c r="AU107" i="2"/>
  <c r="AS107" i="2"/>
  <c r="AU106" i="2"/>
  <c r="AS106" i="2"/>
  <c r="AU105" i="2"/>
  <c r="AS105" i="2"/>
  <c r="AU104" i="2"/>
  <c r="AS104" i="2"/>
  <c r="AP114" i="2"/>
  <c r="AN114" i="2"/>
  <c r="AP113" i="2"/>
  <c r="AN113" i="2"/>
  <c r="AP112" i="2"/>
  <c r="AN112" i="2"/>
  <c r="AP107" i="2"/>
  <c r="AN107" i="2"/>
  <c r="AP106" i="2"/>
  <c r="AN106" i="2"/>
  <c r="AP105" i="2"/>
  <c r="AN105" i="2"/>
  <c r="AP104" i="2"/>
  <c r="AN104" i="2"/>
  <c r="AK114" i="2"/>
  <c r="AI114" i="2"/>
  <c r="AK113" i="2"/>
  <c r="AI113" i="2"/>
  <c r="AK112" i="2"/>
  <c r="AI112" i="2"/>
  <c r="AK107" i="2"/>
  <c r="AI107" i="2"/>
  <c r="AK106" i="2"/>
  <c r="AI106" i="2"/>
  <c r="AK105" i="2"/>
  <c r="AI105" i="2"/>
  <c r="AK104" i="2"/>
  <c r="AI104" i="2"/>
  <c r="AF107" i="2"/>
  <c r="AD107" i="2"/>
  <c r="AF106" i="2"/>
  <c r="AD106" i="2"/>
  <c r="AF105" i="2"/>
  <c r="AD105" i="2"/>
  <c r="AF104" i="2"/>
  <c r="AD104" i="2"/>
  <c r="AA107" i="2"/>
  <c r="Y107" i="2"/>
  <c r="AA106" i="2"/>
  <c r="Y106" i="2"/>
  <c r="AA105" i="2"/>
  <c r="Y105" i="2"/>
  <c r="AA104" i="2"/>
  <c r="Y104" i="2"/>
  <c r="V107" i="2"/>
  <c r="T107" i="2"/>
  <c r="V106" i="2"/>
  <c r="T106" i="2"/>
  <c r="V105" i="2"/>
  <c r="T105" i="2"/>
  <c r="V104" i="2"/>
  <c r="T104" i="2"/>
  <c r="Q113" i="2"/>
  <c r="O113" i="2"/>
  <c r="Q112" i="2"/>
  <c r="O112" i="2"/>
  <c r="Q107" i="2"/>
  <c r="O107" i="2"/>
  <c r="Q106" i="2"/>
  <c r="O106" i="2"/>
  <c r="Q105" i="2"/>
  <c r="O105" i="2"/>
  <c r="Q104" i="2"/>
  <c r="O104" i="2"/>
  <c r="Q103" i="2"/>
  <c r="O103" i="2"/>
  <c r="Q102" i="2"/>
  <c r="O102" i="2"/>
  <c r="Q101" i="2"/>
  <c r="O101" i="2"/>
  <c r="Q100" i="2"/>
  <c r="O100" i="2"/>
  <c r="Q99" i="2"/>
  <c r="O99" i="2"/>
  <c r="Q98" i="2"/>
  <c r="O98" i="2"/>
  <c r="Q97" i="2"/>
  <c r="O97" i="2"/>
  <c r="Q96" i="2"/>
  <c r="O96" i="2"/>
  <c r="L113" i="2"/>
  <c r="J113" i="2"/>
  <c r="L112" i="2"/>
  <c r="J112" i="2"/>
  <c r="L107" i="2"/>
  <c r="J107" i="2"/>
  <c r="L106" i="2"/>
  <c r="J106" i="2"/>
  <c r="L105" i="2"/>
  <c r="J105" i="2"/>
  <c r="L104" i="2"/>
  <c r="J104" i="2"/>
  <c r="L103" i="2"/>
  <c r="J103" i="2"/>
  <c r="L102" i="2"/>
  <c r="J102" i="2"/>
  <c r="L101" i="2"/>
  <c r="J101" i="2"/>
  <c r="L100" i="2"/>
  <c r="J100" i="2"/>
  <c r="L99" i="2"/>
  <c r="J99" i="2"/>
  <c r="L98" i="2"/>
  <c r="J98" i="2"/>
  <c r="L97" i="2"/>
  <c r="J97" i="2"/>
  <c r="L96" i="2"/>
  <c r="J96" i="2"/>
  <c r="G113" i="2"/>
  <c r="E113" i="2"/>
  <c r="G112" i="2"/>
  <c r="E112" i="2"/>
  <c r="G107" i="2"/>
  <c r="E107" i="2"/>
  <c r="G106" i="2"/>
  <c r="E106" i="2"/>
  <c r="G105" i="2"/>
  <c r="E105" i="2"/>
  <c r="G104" i="2"/>
  <c r="E104" i="2"/>
  <c r="G103" i="2"/>
  <c r="E103" i="2"/>
  <c r="G102" i="2"/>
  <c r="E102" i="2"/>
  <c r="G101" i="2"/>
  <c r="E101" i="2"/>
  <c r="G100" i="2"/>
  <c r="E100" i="2"/>
  <c r="G99" i="2"/>
  <c r="E99" i="2"/>
  <c r="G98" i="2"/>
  <c r="E98" i="2"/>
  <c r="G97" i="2"/>
  <c r="E97" i="2"/>
  <c r="G96" i="2"/>
  <c r="E96" i="2"/>
  <c r="R114" i="2"/>
  <c r="P114" i="2"/>
  <c r="Q114" i="2" s="1"/>
  <c r="N114" i="2"/>
  <c r="O114" i="2" s="1"/>
  <c r="L54" i="2"/>
  <c r="J54" i="2"/>
  <c r="L53" i="2"/>
  <c r="J53" i="2"/>
  <c r="G54" i="2"/>
  <c r="E54" i="2"/>
  <c r="G53" i="2"/>
  <c r="E53" i="2"/>
  <c r="Q54" i="2"/>
  <c r="O54" i="2"/>
  <c r="Q53" i="2"/>
  <c r="O53" i="2"/>
  <c r="K114" i="2"/>
  <c r="M114" i="2"/>
  <c r="L114" i="2"/>
  <c r="J114" i="2"/>
  <c r="I114" i="2"/>
  <c r="H115" i="2"/>
  <c r="Q793" i="4" l="1"/>
  <c r="Q794" i="4"/>
  <c r="E50" i="9"/>
  <c r="E49" i="9"/>
  <c r="E48" i="9"/>
  <c r="E47" i="9"/>
  <c r="E46" i="9"/>
  <c r="E45" i="9"/>
  <c r="E43" i="9"/>
  <c r="E44" i="9"/>
  <c r="E42" i="9" l="1"/>
  <c r="E41" i="9"/>
  <c r="E40" i="9"/>
  <c r="E39" i="9"/>
  <c r="E38" i="9"/>
  <c r="E37" i="9"/>
  <c r="E36" i="9"/>
  <c r="E35" i="9"/>
  <c r="E34" i="9"/>
  <c r="E33" i="9"/>
  <c r="E32" i="9"/>
  <c r="E31" i="9"/>
  <c r="E30" i="9"/>
  <c r="E29" i="9"/>
  <c r="E28" i="9" l="1"/>
  <c r="E27" i="9"/>
  <c r="E25" i="9"/>
  <c r="E24" i="9"/>
  <c r="E23" i="9"/>
  <c r="E22" i="9"/>
  <c r="E20" i="9"/>
  <c r="E19" i="9"/>
  <c r="E18" i="9"/>
  <c r="E17" i="9"/>
  <c r="E16" i="9"/>
  <c r="E15" i="9"/>
  <c r="E14" i="9"/>
  <c r="E13" i="9"/>
  <c r="E11" i="9"/>
  <c r="E10" i="9"/>
  <c r="E9" i="9"/>
  <c r="E4" i="9"/>
  <c r="E8" i="9"/>
  <c r="E5" i="9"/>
  <c r="E3" i="9"/>
  <c r="CX22" i="6" l="1"/>
  <c r="CX21" i="6"/>
  <c r="CX20" i="6"/>
  <c r="CX19" i="6"/>
  <c r="CX18" i="6"/>
  <c r="D147" i="4" l="1"/>
  <c r="E147" i="4"/>
  <c r="E183" i="4"/>
  <c r="D183" i="4"/>
  <c r="E165" i="4"/>
  <c r="D165" i="4"/>
  <c r="D219" i="4"/>
  <c r="E237" i="4"/>
  <c r="D237" i="4"/>
  <c r="E255" i="4"/>
  <c r="D255" i="4"/>
  <c r="E291" i="4"/>
  <c r="D291" i="4"/>
  <c r="E309" i="4"/>
  <c r="D309" i="4"/>
  <c r="E353" i="4"/>
  <c r="D353" i="4"/>
  <c r="E410" i="4"/>
  <c r="D410" i="4"/>
  <c r="E428" i="4"/>
  <c r="D428" i="4"/>
  <c r="E446" i="4"/>
  <c r="D446" i="4"/>
  <c r="E464" i="4"/>
  <c r="D464" i="4"/>
  <c r="E544" i="4"/>
  <c r="D544" i="4"/>
  <c r="E647" i="4"/>
  <c r="D647" i="4"/>
  <c r="E665" i="4"/>
  <c r="D665" i="4"/>
  <c r="D683" i="4"/>
  <c r="E683" i="4"/>
  <c r="E701" i="4"/>
  <c r="E719" i="4"/>
  <c r="D719" i="4"/>
  <c r="E737" i="4"/>
  <c r="D737" i="4"/>
  <c r="E755" i="4"/>
  <c r="D755" i="4"/>
  <c r="E773" i="4"/>
  <c r="D773" i="4"/>
  <c r="E791" i="4"/>
  <c r="D791" i="4"/>
  <c r="E809" i="4"/>
  <c r="D809" i="4"/>
  <c r="D1223" i="4"/>
  <c r="E1259" i="4"/>
  <c r="E1277" i="4"/>
  <c r="E1295" i="4"/>
  <c r="D1295" i="4"/>
  <c r="E1511" i="4"/>
  <c r="D1511" i="4"/>
  <c r="E1241" i="4"/>
  <c r="E1637" i="4"/>
  <c r="E1655" i="4"/>
  <c r="D1655" i="4"/>
  <c r="E1699" i="4"/>
  <c r="D1699" i="4"/>
  <c r="E1717" i="4"/>
  <c r="D1717" i="4"/>
  <c r="E1735" i="4" l="1"/>
  <c r="D1735" i="4"/>
  <c r="E1753" i="4"/>
  <c r="E1771" i="4"/>
  <c r="E827" i="4"/>
  <c r="D827" i="4"/>
  <c r="E845" i="4" l="1"/>
  <c r="D845" i="4"/>
  <c r="E863" i="4"/>
  <c r="E881" i="4"/>
  <c r="D881" i="4"/>
  <c r="D863" i="4"/>
  <c r="E899" i="4"/>
  <c r="D899" i="4"/>
  <c r="E917" i="4"/>
  <c r="D917" i="4"/>
  <c r="E935" i="4"/>
  <c r="D935" i="4"/>
  <c r="E953" i="4"/>
  <c r="D953" i="4"/>
  <c r="E971" i="4"/>
  <c r="D971" i="4"/>
  <c r="E989" i="4"/>
  <c r="D989" i="4"/>
  <c r="E1007" i="4"/>
  <c r="D1007" i="4"/>
  <c r="E1025" i="4"/>
  <c r="D1025" i="4"/>
  <c r="E1043" i="4"/>
  <c r="D1043" i="4"/>
  <c r="E1097" i="4"/>
  <c r="D1097" i="4"/>
  <c r="E1079" i="4"/>
  <c r="D1079" i="4"/>
  <c r="E1133" i="4"/>
  <c r="D1133" i="4"/>
  <c r="E1115" i="4"/>
  <c r="D1115" i="4"/>
  <c r="E1151" i="4"/>
  <c r="D1151" i="4"/>
  <c r="D1169" i="4"/>
  <c r="E1169" i="4"/>
  <c r="E1187" i="4"/>
  <c r="D1187" i="4"/>
  <c r="E1205" i="4"/>
  <c r="D1205" i="4"/>
  <c r="E1313" i="4"/>
  <c r="D1313" i="4"/>
  <c r="E1331" i="4"/>
  <c r="D1331" i="4"/>
  <c r="E1349" i="4"/>
  <c r="D1349" i="4"/>
  <c r="E1367" i="4"/>
  <c r="D1367" i="4"/>
  <c r="E1385" i="4"/>
  <c r="D1385" i="4"/>
  <c r="E1403" i="4"/>
  <c r="D1403" i="4"/>
  <c r="E1421" i="4"/>
  <c r="D1421" i="4"/>
  <c r="E1439" i="4"/>
  <c r="D1439" i="4"/>
  <c r="E1457" i="4"/>
  <c r="D1457" i="4"/>
  <c r="E1475" i="4"/>
  <c r="D1475" i="4"/>
  <c r="E1493" i="4"/>
  <c r="D1493" i="4"/>
  <c r="E1529" i="4"/>
  <c r="D1529" i="4"/>
  <c r="E1547" i="4"/>
  <c r="D1547" i="4"/>
  <c r="E1565" i="4"/>
  <c r="D1565" i="4"/>
  <c r="E1583" i="4"/>
  <c r="D1583" i="4"/>
  <c r="E1619" i="4"/>
  <c r="D1619" i="4"/>
  <c r="E1601" i="4"/>
  <c r="D1601" i="4"/>
  <c r="E1861" i="4"/>
  <c r="E1789" i="4"/>
  <c r="E575" i="4"/>
  <c r="D575" i="4"/>
  <c r="E593" i="4"/>
  <c r="D593" i="4"/>
  <c r="E611" i="4"/>
  <c r="D611" i="4"/>
  <c r="E629" i="4"/>
  <c r="D629" i="4"/>
  <c r="E129" i="4"/>
  <c r="D129" i="4"/>
  <c r="E111" i="4"/>
  <c r="T4" i="3" l="1"/>
  <c r="V4" i="3"/>
  <c r="Y4" i="3"/>
  <c r="AA4" i="3"/>
  <c r="T5" i="3"/>
  <c r="V5" i="3"/>
  <c r="Y5" i="3"/>
  <c r="AA5" i="3"/>
  <c r="T6" i="3"/>
  <c r="V6" i="3"/>
  <c r="Y6" i="3"/>
  <c r="AA6" i="3"/>
  <c r="T7" i="3"/>
  <c r="V7" i="3"/>
  <c r="Y7" i="3"/>
  <c r="AA7" i="3"/>
  <c r="T8" i="3"/>
  <c r="V8" i="3"/>
  <c r="Y8" i="3"/>
  <c r="AA8" i="3"/>
  <c r="T9" i="3"/>
  <c r="V9" i="3"/>
  <c r="Y9" i="3"/>
  <c r="AA9" i="3"/>
  <c r="T10" i="3"/>
  <c r="V10" i="3"/>
  <c r="Y10" i="3"/>
  <c r="AA10" i="3"/>
  <c r="T12" i="3"/>
  <c r="V12" i="3"/>
  <c r="AE12" i="3"/>
  <c r="AF12" i="3"/>
  <c r="AG12" i="3"/>
  <c r="AH12" i="3"/>
  <c r="AI12" i="3"/>
  <c r="AJ12" i="3"/>
  <c r="AK12" i="3"/>
  <c r="AL12" i="3"/>
  <c r="AM12" i="3"/>
  <c r="AN12" i="3"/>
  <c r="AO12" i="3"/>
  <c r="AP12" i="3"/>
  <c r="AQ12" i="3"/>
  <c r="AR12" i="3"/>
  <c r="AS12" i="3"/>
  <c r="AT12" i="3"/>
  <c r="AU12" i="3"/>
  <c r="AV12" i="3"/>
  <c r="AW12" i="3"/>
  <c r="AX12" i="3"/>
  <c r="AY12" i="3"/>
  <c r="AZ12" i="3"/>
  <c r="BA12" i="3"/>
  <c r="T13" i="3"/>
  <c r="V13" i="3"/>
  <c r="AE13" i="3"/>
  <c r="AF13" i="3"/>
  <c r="AG13" i="3"/>
  <c r="AH13" i="3"/>
  <c r="AI13" i="3"/>
  <c r="AJ13" i="3"/>
  <c r="AK13" i="3"/>
  <c r="AL13" i="3"/>
  <c r="AM13" i="3"/>
  <c r="AN13" i="3"/>
  <c r="AO13" i="3"/>
  <c r="AP13" i="3"/>
  <c r="AQ13" i="3"/>
  <c r="AR13" i="3"/>
  <c r="AS13" i="3"/>
  <c r="AT13" i="3"/>
  <c r="AU13" i="3"/>
  <c r="AV13" i="3"/>
  <c r="AW13" i="3"/>
  <c r="AX13" i="3"/>
  <c r="AY13" i="3"/>
  <c r="AZ13" i="3"/>
  <c r="BA13" i="3"/>
  <c r="T14" i="3"/>
  <c r="V14" i="3"/>
  <c r="Y14" i="3"/>
  <c r="AA14" i="3"/>
  <c r="AE14" i="3"/>
  <c r="AF14" i="3"/>
  <c r="AG14" i="3"/>
  <c r="AH14" i="3"/>
  <c r="AI14" i="3"/>
  <c r="AJ14" i="3"/>
  <c r="AK14" i="3"/>
  <c r="AL14" i="3"/>
  <c r="AM14" i="3"/>
  <c r="AN14" i="3"/>
  <c r="AO14" i="3"/>
  <c r="AP14" i="3"/>
  <c r="AQ14" i="3"/>
  <c r="AR14" i="3"/>
  <c r="AS14" i="3"/>
  <c r="AT14" i="3"/>
  <c r="AU14" i="3"/>
  <c r="AV14" i="3"/>
  <c r="AW14" i="3"/>
  <c r="AX14" i="3"/>
  <c r="AY14" i="3"/>
  <c r="AZ14" i="3"/>
  <c r="BA14" i="3"/>
  <c r="T15" i="3"/>
  <c r="V15" i="3"/>
  <c r="Y15" i="3"/>
  <c r="AA15" i="3"/>
  <c r="T17" i="3"/>
  <c r="V17" i="3"/>
  <c r="T18" i="3"/>
  <c r="V18" i="3"/>
  <c r="T19" i="3"/>
  <c r="V19" i="3"/>
  <c r="T21" i="3"/>
  <c r="V21" i="3"/>
  <c r="Y21" i="3"/>
  <c r="AA21" i="3"/>
  <c r="T22" i="3"/>
  <c r="V22" i="3"/>
  <c r="AC23" i="3"/>
  <c r="AE23" i="3"/>
  <c r="AG23" i="3"/>
  <c r="AH23" i="3"/>
  <c r="AJ23" i="3"/>
  <c r="AL23" i="3"/>
  <c r="AM23" i="3"/>
  <c r="AO23" i="3"/>
  <c r="AQ23" i="3"/>
  <c r="AR23" i="3"/>
  <c r="AT23" i="3"/>
  <c r="AV23" i="3"/>
  <c r="AW23" i="3"/>
  <c r="AY23" i="3"/>
  <c r="BA23" i="3"/>
  <c r="T24" i="3"/>
  <c r="V24" i="3"/>
  <c r="AH24" i="3"/>
  <c r="AJ24" i="3"/>
  <c r="AL24" i="3"/>
  <c r="AM24" i="3"/>
  <c r="AO24" i="3"/>
  <c r="AQ24" i="3"/>
  <c r="AR24" i="3"/>
  <c r="AT24" i="3"/>
  <c r="AV24" i="3"/>
  <c r="AW24" i="3"/>
  <c r="AY24" i="3"/>
  <c r="BA24" i="3"/>
  <c r="T25" i="3"/>
  <c r="V25" i="3"/>
  <c r="Y25" i="3"/>
  <c r="AA25" i="3"/>
  <c r="AC26" i="3"/>
  <c r="AD26" i="3"/>
  <c r="AG26" i="3"/>
  <c r="AH26" i="3"/>
  <c r="AI26" i="3"/>
  <c r="AL26" i="3"/>
  <c r="AM26" i="3"/>
  <c r="AN26" i="3"/>
  <c r="AQ26" i="3"/>
  <c r="AR26" i="3"/>
  <c r="AS26" i="3"/>
  <c r="AV26" i="3"/>
  <c r="AW26" i="3"/>
  <c r="AX26" i="3"/>
  <c r="BA26" i="3"/>
  <c r="AC27" i="3"/>
  <c r="AD27" i="3"/>
  <c r="AG27" i="3"/>
  <c r="AH27" i="3"/>
  <c r="AI27" i="3"/>
  <c r="AL27" i="3"/>
  <c r="AM27" i="3"/>
  <c r="AN27" i="3"/>
  <c r="AQ27" i="3"/>
  <c r="AR27" i="3"/>
  <c r="AS27" i="3"/>
  <c r="AV27" i="3"/>
  <c r="AW27" i="3"/>
  <c r="AX27" i="3"/>
  <c r="BA27" i="3"/>
  <c r="T28" i="3"/>
  <c r="V28" i="3"/>
  <c r="Y28" i="3"/>
  <c r="AA28" i="3"/>
  <c r="AW28" i="3"/>
  <c r="AY28" i="3"/>
  <c r="AZ28" i="3"/>
  <c r="BA28" i="3"/>
  <c r="T29" i="3"/>
  <c r="V29" i="3"/>
  <c r="Y29" i="3"/>
  <c r="AA29" i="3"/>
  <c r="T30" i="3"/>
  <c r="V30" i="3"/>
  <c r="Y30" i="3"/>
  <c r="AA30" i="3"/>
  <c r="T31" i="3"/>
  <c r="V31" i="3"/>
  <c r="Y31" i="3"/>
  <c r="AA31" i="3"/>
  <c r="T32" i="3"/>
  <c r="V32" i="3"/>
  <c r="Y32" i="3"/>
  <c r="AA32" i="3"/>
  <c r="T33" i="3"/>
  <c r="V33" i="3"/>
  <c r="AW33" i="3"/>
  <c r="BA33" i="3"/>
  <c r="AW36" i="3"/>
  <c r="AY36" i="3"/>
  <c r="BA36" i="3"/>
  <c r="T37" i="3"/>
  <c r="V37" i="3"/>
  <c r="Y37" i="3"/>
  <c r="AA37" i="3"/>
  <c r="AC38" i="3"/>
  <c r="AF38" i="3"/>
  <c r="AH38" i="3"/>
  <c r="AM38" i="3"/>
  <c r="AR38" i="3"/>
  <c r="AW38" i="3"/>
  <c r="AX38" i="3"/>
  <c r="AY38" i="3"/>
  <c r="T39" i="3"/>
  <c r="V39" i="3"/>
  <c r="Y39" i="3"/>
  <c r="AA39" i="3"/>
  <c r="T40" i="3"/>
  <c r="V40" i="3"/>
  <c r="Y40" i="3"/>
  <c r="AA40" i="3"/>
  <c r="T41" i="3"/>
  <c r="V41" i="3"/>
  <c r="Y41" i="3"/>
  <c r="AA41" i="3"/>
  <c r="T42" i="3"/>
  <c r="V42" i="3"/>
  <c r="T43" i="3"/>
  <c r="V43" i="3"/>
  <c r="Y43" i="3"/>
  <c r="AA43" i="3"/>
  <c r="T44" i="3"/>
  <c r="V44" i="3"/>
  <c r="Y44" i="3"/>
  <c r="AA44" i="3"/>
  <c r="T45" i="3"/>
  <c r="V45" i="3"/>
  <c r="Y45" i="3"/>
  <c r="AA45" i="3"/>
  <c r="T46" i="3"/>
  <c r="V46" i="3"/>
  <c r="Y46" i="3"/>
  <c r="AA46" i="3"/>
  <c r="T47" i="3"/>
  <c r="V47" i="3"/>
  <c r="Y47" i="3"/>
  <c r="AA47" i="3"/>
  <c r="T48" i="3"/>
  <c r="V48" i="3"/>
  <c r="Y48" i="3"/>
  <c r="AA48" i="3"/>
  <c r="T49" i="3"/>
  <c r="V49" i="3"/>
  <c r="Y49" i="3"/>
  <c r="AA49" i="3"/>
  <c r="T50" i="3"/>
  <c r="V50" i="3"/>
  <c r="Y50" i="3"/>
  <c r="AA50" i="3"/>
  <c r="T51" i="3"/>
  <c r="V51" i="3"/>
  <c r="Y51" i="3"/>
  <c r="AA51" i="3"/>
  <c r="T52" i="3"/>
  <c r="V52" i="3"/>
  <c r="Y52" i="3"/>
  <c r="AA52"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T55" i="3"/>
  <c r="V55" i="3"/>
  <c r="Y55" i="3"/>
  <c r="AA55" i="3"/>
  <c r="T56" i="3"/>
  <c r="V56" i="3"/>
  <c r="Y56" i="3"/>
  <c r="AA56" i="3"/>
  <c r="T57" i="3"/>
  <c r="V57" i="3"/>
  <c r="Y57" i="3"/>
  <c r="AA57" i="3"/>
  <c r="T58" i="3"/>
  <c r="V58" i="3"/>
  <c r="Y58" i="3"/>
  <c r="AA58" i="3"/>
  <c r="T59" i="3"/>
  <c r="V59" i="3"/>
  <c r="Y59" i="3"/>
  <c r="AA59" i="3"/>
  <c r="T60" i="3"/>
  <c r="V60" i="3"/>
  <c r="Y60" i="3"/>
  <c r="AA60" i="3"/>
  <c r="T61" i="3"/>
  <c r="V61" i="3"/>
  <c r="Y61" i="3"/>
  <c r="AA61" i="3"/>
  <c r="T62" i="3"/>
  <c r="V62" i="3"/>
  <c r="Y62" i="3"/>
  <c r="AA62" i="3"/>
  <c r="T63" i="3"/>
  <c r="V63" i="3"/>
  <c r="Y63" i="3"/>
  <c r="AA63" i="3"/>
  <c r="T64" i="3"/>
  <c r="V64" i="3"/>
  <c r="Y64" i="3"/>
  <c r="AA64" i="3"/>
  <c r="T65" i="3"/>
  <c r="V65" i="3"/>
  <c r="Y65" i="3"/>
  <c r="AA65" i="3"/>
  <c r="T66" i="3"/>
  <c r="V66" i="3"/>
  <c r="Y66" i="3"/>
  <c r="AA66" i="3"/>
  <c r="T67" i="3"/>
  <c r="V67" i="3"/>
  <c r="Y67" i="3"/>
  <c r="AA67" i="3"/>
  <c r="T68" i="3"/>
  <c r="V68" i="3"/>
  <c r="Y68" i="3"/>
  <c r="AA68" i="3"/>
  <c r="AM68" i="3"/>
  <c r="AR68" i="3"/>
  <c r="AW68"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T70" i="3"/>
  <c r="V70" i="3"/>
  <c r="Y70" i="3"/>
  <c r="AA70" i="3"/>
  <c r="T71" i="3"/>
  <c r="V71" i="3"/>
  <c r="Y71" i="3"/>
  <c r="AA71" i="3"/>
  <c r="T72" i="3"/>
  <c r="V72" i="3"/>
  <c r="Y72" i="3"/>
  <c r="AA72" i="3"/>
  <c r="T73" i="3"/>
  <c r="V73" i="3"/>
  <c r="Y73" i="3"/>
  <c r="AA73" i="3"/>
  <c r="T74" i="3"/>
  <c r="V74" i="3"/>
  <c r="Y74" i="3"/>
  <c r="AA74" i="3"/>
  <c r="T75" i="3"/>
  <c r="V75" i="3"/>
  <c r="Y75" i="3"/>
  <c r="AA75" i="3"/>
  <c r="T76" i="3"/>
  <c r="V76" i="3"/>
  <c r="Y76" i="3"/>
  <c r="AA76" i="3"/>
  <c r="T77" i="3"/>
  <c r="V77" i="3"/>
  <c r="Y77" i="3"/>
  <c r="AA77" i="3"/>
  <c r="T78" i="3"/>
  <c r="V78" i="3"/>
  <c r="Y78" i="3"/>
  <c r="AA78" i="3"/>
  <c r="X79" i="3"/>
  <c r="Y79" i="3"/>
  <c r="AA79" i="3"/>
  <c r="AC79" i="3"/>
  <c r="AD79" i="3"/>
  <c r="AF79" i="3"/>
  <c r="W80" i="3"/>
  <c r="W82" i="3" s="1"/>
  <c r="W90" i="3" s="1"/>
  <c r="BA81" i="3"/>
  <c r="W84" i="3"/>
  <c r="W91" i="3"/>
  <c r="W94" i="3"/>
  <c r="W95" i="3"/>
  <c r="W96" i="3" s="1"/>
  <c r="W92" i="3" l="1"/>
  <c r="W98" i="3" s="1"/>
  <c r="H1228" i="4"/>
  <c r="CC68" i="2"/>
  <c r="CC69" i="2"/>
  <c r="H761" i="4"/>
  <c r="F761" i="4"/>
  <c r="D761" i="4"/>
  <c r="H760" i="4"/>
  <c r="F760" i="4"/>
  <c r="D760" i="4"/>
  <c r="H1284" i="4"/>
  <c r="AG54" i="3" s="1"/>
  <c r="F1284" i="4"/>
  <c r="AE54" i="3" s="1"/>
  <c r="D1284" i="4"/>
  <c r="AC54" i="3" s="1"/>
  <c r="H1691" i="4" l="1"/>
  <c r="F1691" i="4"/>
  <c r="D1691" i="4"/>
  <c r="W115" i="2"/>
  <c r="AB115" i="2"/>
  <c r="CC23" i="2"/>
  <c r="CC114" i="2"/>
  <c r="CC95" i="2"/>
  <c r="CC93" i="2"/>
  <c r="CC92" i="2"/>
  <c r="CC91" i="2"/>
  <c r="CC90" i="2"/>
  <c r="CC88" i="2"/>
  <c r="CC87" i="2"/>
  <c r="CC86" i="2"/>
  <c r="CC85" i="2"/>
  <c r="CC67" i="2"/>
  <c r="CC66" i="2"/>
  <c r="CC65" i="2"/>
  <c r="CC64" i="2"/>
  <c r="CC63" i="2"/>
  <c r="CC61" i="2"/>
  <c r="CC60" i="2"/>
  <c r="CC59" i="2"/>
  <c r="CC58" i="2"/>
  <c r="CC57" i="2"/>
  <c r="CC56" i="2"/>
  <c r="CC55" i="2"/>
  <c r="CC54" i="2"/>
  <c r="CC53" i="2"/>
  <c r="CC52" i="2"/>
  <c r="CC51" i="2"/>
  <c r="CC50" i="2"/>
  <c r="CC49" i="2"/>
  <c r="CC48" i="2"/>
  <c r="CC47" i="2"/>
  <c r="CC46" i="2"/>
  <c r="CC40" i="2"/>
  <c r="CC39" i="2"/>
  <c r="CC38" i="2"/>
  <c r="CC37" i="2"/>
  <c r="CC36" i="2"/>
  <c r="CC35" i="2"/>
  <c r="CC34" i="2"/>
  <c r="CC33" i="2"/>
  <c r="CC32" i="2"/>
  <c r="CC31" i="2"/>
  <c r="CC30" i="2"/>
  <c r="CC29" i="2"/>
  <c r="CC28" i="2"/>
  <c r="CC27" i="2"/>
  <c r="CC26" i="2"/>
  <c r="CC25" i="2"/>
  <c r="CC24" i="2"/>
  <c r="CC22" i="2"/>
  <c r="CC21" i="2"/>
  <c r="CC20" i="2"/>
  <c r="CC18" i="2"/>
  <c r="CC17" i="2"/>
  <c r="CC15" i="2"/>
  <c r="CC14" i="2"/>
  <c r="CC13" i="2"/>
  <c r="CC12" i="2"/>
  <c r="CC10" i="2"/>
  <c r="CC9" i="2"/>
  <c r="CC8" i="2"/>
  <c r="CC7" i="2"/>
  <c r="CC5" i="2"/>
  <c r="CC4" i="2"/>
  <c r="CB112" i="2"/>
  <c r="CD112" i="2" s="1"/>
  <c r="CB113" i="2"/>
  <c r="CD113" i="2" s="1"/>
  <c r="CB114" i="2"/>
  <c r="CD114" i="2" l="1"/>
  <c r="CC115" i="2"/>
  <c r="M80" i="3"/>
  <c r="AG51" i="2" l="1"/>
  <c r="AE51" i="2"/>
  <c r="AC51" i="2"/>
  <c r="AA114" i="2" l="1"/>
  <c r="AA113" i="2"/>
  <c r="AA112" i="2"/>
  <c r="Y112" i="2"/>
  <c r="Y113" i="2"/>
  <c r="Y114" i="2"/>
  <c r="D111" i="4"/>
  <c r="E93" i="4"/>
  <c r="D93" i="4"/>
  <c r="E75" i="4"/>
  <c r="D75" i="4"/>
  <c r="E57" i="4"/>
  <c r="D57" i="4"/>
  <c r="E39" i="4"/>
  <c r="D39" i="4"/>
  <c r="E21" i="4"/>
  <c r="D21" i="4"/>
  <c r="E3" i="4"/>
  <c r="D3" i="4"/>
  <c r="G1895" i="4"/>
  <c r="G1894" i="4"/>
  <c r="G1893" i="4"/>
  <c r="G1892" i="4"/>
  <c r="G1891" i="4"/>
  <c r="G1913" i="4"/>
  <c r="G1912" i="4"/>
  <c r="G1911" i="4"/>
  <c r="G1910" i="4"/>
  <c r="G1909" i="4"/>
  <c r="G163" i="4" l="1"/>
  <c r="G162" i="4"/>
  <c r="G161" i="4"/>
  <c r="G160" i="4"/>
  <c r="G159" i="4"/>
  <c r="G73" i="4"/>
  <c r="G72" i="4"/>
  <c r="G71" i="4"/>
  <c r="G70" i="4"/>
  <c r="G69" i="4"/>
  <c r="H541" i="4"/>
  <c r="AV36" i="3" s="1"/>
  <c r="F541" i="4"/>
  <c r="D541" i="4"/>
  <c r="AR36" i="3" s="1"/>
  <c r="H540" i="4"/>
  <c r="AQ36" i="3" s="1"/>
  <c r="F540" i="4"/>
  <c r="AO36" i="3" s="1"/>
  <c r="D540" i="4"/>
  <c r="AM36" i="3" s="1"/>
  <c r="H539" i="4"/>
  <c r="AL36" i="3" s="1"/>
  <c r="F539" i="4"/>
  <c r="AJ36" i="3" s="1"/>
  <c r="D539" i="4"/>
  <c r="AH36" i="3" s="1"/>
  <c r="H538" i="4"/>
  <c r="AG36" i="3" s="1"/>
  <c r="F538" i="4"/>
  <c r="AE36" i="3" s="1"/>
  <c r="D538" i="4"/>
  <c r="AC36" i="3" s="1"/>
  <c r="H537" i="4"/>
  <c r="F537" i="4"/>
  <c r="E537" i="4" s="1"/>
  <c r="D537" i="4"/>
  <c r="H536" i="4"/>
  <c r="F536" i="4"/>
  <c r="E536" i="4" s="1"/>
  <c r="D536" i="4"/>
  <c r="E542" i="4"/>
  <c r="AX36" i="3" s="1"/>
  <c r="D523" i="4"/>
  <c r="D522" i="4"/>
  <c r="AM35" i="3" s="1"/>
  <c r="D521" i="4"/>
  <c r="AH35" i="3" s="1"/>
  <c r="F523" i="4"/>
  <c r="AT35" i="3" s="1"/>
  <c r="F522" i="4"/>
  <c r="AO35" i="3" s="1"/>
  <c r="F521" i="4"/>
  <c r="AJ35" i="3" s="1"/>
  <c r="H521" i="4"/>
  <c r="AL35" i="3" s="1"/>
  <c r="H522" i="4"/>
  <c r="AQ35" i="3" s="1"/>
  <c r="H523" i="4"/>
  <c r="AV35" i="3" s="1"/>
  <c r="H520" i="4"/>
  <c r="AG35" i="3" s="1"/>
  <c r="F520" i="4"/>
  <c r="AE35" i="3" s="1"/>
  <c r="F518" i="4"/>
  <c r="D518" i="4"/>
  <c r="D505" i="4"/>
  <c r="AR34" i="3" s="1"/>
  <c r="F505" i="4"/>
  <c r="AT34" i="3" s="1"/>
  <c r="H505" i="4"/>
  <c r="AV34" i="3" s="1"/>
  <c r="H504" i="4"/>
  <c r="AQ34" i="3" s="1"/>
  <c r="F504" i="4"/>
  <c r="D504" i="4"/>
  <c r="AM34" i="3" s="1"/>
  <c r="H503" i="4"/>
  <c r="AL34" i="3" s="1"/>
  <c r="F503" i="4"/>
  <c r="D503" i="4"/>
  <c r="AH34" i="3" s="1"/>
  <c r="H502" i="4"/>
  <c r="AG34" i="3" s="1"/>
  <c r="F502" i="4"/>
  <c r="D502" i="4"/>
  <c r="AC34" i="3" s="1"/>
  <c r="H501" i="4"/>
  <c r="F501" i="4"/>
  <c r="E501" i="4" s="1"/>
  <c r="D501" i="4"/>
  <c r="H500" i="4"/>
  <c r="F500" i="4"/>
  <c r="D500" i="4"/>
  <c r="H489" i="4"/>
  <c r="AG33" i="3" s="1"/>
  <c r="F489" i="4"/>
  <c r="D489" i="4"/>
  <c r="AC33" i="3" s="1"/>
  <c r="H488" i="4"/>
  <c r="F488" i="4"/>
  <c r="E488" i="4" s="1"/>
  <c r="D488" i="4"/>
  <c r="H487" i="4"/>
  <c r="F487" i="4"/>
  <c r="D487" i="4"/>
  <c r="D490" i="4"/>
  <c r="AH33" i="3" s="1"/>
  <c r="F490" i="4"/>
  <c r="AJ33" i="3" s="1"/>
  <c r="H490" i="4"/>
  <c r="AL33" i="3" s="1"/>
  <c r="D491" i="4"/>
  <c r="AM33" i="3" s="1"/>
  <c r="F491" i="4"/>
  <c r="AO33" i="3" s="1"/>
  <c r="H491" i="4"/>
  <c r="AQ33" i="3" s="1"/>
  <c r="D492" i="4"/>
  <c r="AR33" i="3" s="1"/>
  <c r="F492" i="4"/>
  <c r="AT33" i="3" s="1"/>
  <c r="H492" i="4"/>
  <c r="AV33" i="3" s="1"/>
  <c r="F493" i="4"/>
  <c r="AY33" i="3" s="1"/>
  <c r="H407" i="4"/>
  <c r="AV28" i="3" s="1"/>
  <c r="F407" i="4"/>
  <c r="AT28" i="3" s="1"/>
  <c r="D407" i="4"/>
  <c r="AR28" i="3" s="1"/>
  <c r="H406" i="4"/>
  <c r="AQ28" i="3" s="1"/>
  <c r="F406" i="4"/>
  <c r="AO28" i="3" s="1"/>
  <c r="D406" i="4"/>
  <c r="AM28" i="3" s="1"/>
  <c r="H405" i="4"/>
  <c r="AL28" i="3" s="1"/>
  <c r="F405" i="4"/>
  <c r="AJ28" i="3" s="1"/>
  <c r="D405" i="4"/>
  <c r="AH28" i="3" s="1"/>
  <c r="H404" i="4"/>
  <c r="AG28" i="3" s="1"/>
  <c r="F404" i="4"/>
  <c r="AE28" i="3" s="1"/>
  <c r="D404" i="4"/>
  <c r="AC28" i="3" s="1"/>
  <c r="H403" i="4"/>
  <c r="F403" i="4"/>
  <c r="D403" i="4"/>
  <c r="E408" i="4"/>
  <c r="AX28" i="3" s="1"/>
  <c r="H402" i="4"/>
  <c r="F402" i="4"/>
  <c r="D402" i="4"/>
  <c r="E348" i="4"/>
  <c r="AI24" i="3" s="1"/>
  <c r="E349" i="4"/>
  <c r="AN24" i="3" s="1"/>
  <c r="E350" i="4"/>
  <c r="AS24" i="3" s="1"/>
  <c r="E351" i="4"/>
  <c r="AX24" i="3" s="1"/>
  <c r="D347" i="4"/>
  <c r="AC24" i="3" s="1"/>
  <c r="F347" i="4"/>
  <c r="H347" i="4"/>
  <c r="H346" i="4"/>
  <c r="F346" i="4"/>
  <c r="E346" i="4" s="1"/>
  <c r="D346" i="4"/>
  <c r="H345" i="4"/>
  <c r="F345" i="4"/>
  <c r="D345" i="4"/>
  <c r="H283" i="4"/>
  <c r="AV20" i="3" s="1"/>
  <c r="F283" i="4"/>
  <c r="AT20" i="3" s="1"/>
  <c r="D283" i="4"/>
  <c r="D282" i="4"/>
  <c r="AM20" i="3" s="1"/>
  <c r="F282" i="4"/>
  <c r="AO20" i="3" s="1"/>
  <c r="H282" i="4"/>
  <c r="AQ20" i="3" s="1"/>
  <c r="H281" i="4"/>
  <c r="AL20" i="3" s="1"/>
  <c r="F281" i="4"/>
  <c r="AJ20" i="3" s="1"/>
  <c r="D281" i="4"/>
  <c r="AH20" i="3" s="1"/>
  <c r="H280" i="4"/>
  <c r="AG20" i="3" s="1"/>
  <c r="F280" i="4"/>
  <c r="AE20" i="3" s="1"/>
  <c r="D280" i="4"/>
  <c r="AC20" i="3" s="1"/>
  <c r="H279" i="4"/>
  <c r="F279" i="4"/>
  <c r="E279" i="4" s="1"/>
  <c r="D279" i="4"/>
  <c r="H278" i="4"/>
  <c r="F278" i="4"/>
  <c r="E278" i="4" s="1"/>
  <c r="D278" i="4"/>
  <c r="H1867" i="4"/>
  <c r="F1867" i="4"/>
  <c r="D1867" i="4"/>
  <c r="H1866" i="4"/>
  <c r="F1866" i="4"/>
  <c r="D1866" i="4"/>
  <c r="D1868" i="4"/>
  <c r="F1868" i="4"/>
  <c r="H1868" i="4"/>
  <c r="D1869" i="4"/>
  <c r="F1869" i="4"/>
  <c r="H1869" i="4"/>
  <c r="D1870" i="4"/>
  <c r="F1870" i="4"/>
  <c r="H1870" i="4"/>
  <c r="D1871" i="4"/>
  <c r="F1871" i="4"/>
  <c r="H1871" i="4"/>
  <c r="H1799" i="4"/>
  <c r="F1799" i="4"/>
  <c r="D1799" i="4"/>
  <c r="H1798" i="4"/>
  <c r="F1798" i="4"/>
  <c r="D1798" i="4"/>
  <c r="H1797" i="4"/>
  <c r="F1797" i="4"/>
  <c r="D1797" i="4"/>
  <c r="D1796" i="4"/>
  <c r="F1796" i="4"/>
  <c r="H1796" i="4"/>
  <c r="H1795" i="4"/>
  <c r="F1795" i="4"/>
  <c r="D1795" i="4"/>
  <c r="H1794" i="4"/>
  <c r="F1794" i="4"/>
  <c r="E1794" i="4" s="1"/>
  <c r="D1794" i="4"/>
  <c r="H1781" i="4"/>
  <c r="F1781" i="4"/>
  <c r="E1781" i="4" s="1"/>
  <c r="D1781" i="4"/>
  <c r="H1780" i="4"/>
  <c r="F1780" i="4"/>
  <c r="E1780" i="4" s="1"/>
  <c r="D1780" i="4"/>
  <c r="H1779" i="4"/>
  <c r="F1779" i="4"/>
  <c r="E1779" i="4" s="1"/>
  <c r="D1779" i="4"/>
  <c r="H1778" i="4"/>
  <c r="F1778" i="4"/>
  <c r="E1778" i="4" s="1"/>
  <c r="D1778" i="4"/>
  <c r="H1777" i="4"/>
  <c r="F1777" i="4"/>
  <c r="E1777" i="4" s="1"/>
  <c r="D1777" i="4"/>
  <c r="H1776" i="4"/>
  <c r="F1776" i="4"/>
  <c r="E1776" i="4" s="1"/>
  <c r="D1776" i="4"/>
  <c r="D1763" i="4"/>
  <c r="F1763" i="4"/>
  <c r="E1763" i="4" s="1"/>
  <c r="H1763" i="4"/>
  <c r="H1762" i="4"/>
  <c r="F1762" i="4"/>
  <c r="E1762" i="4" s="1"/>
  <c r="D1762" i="4"/>
  <c r="H1761" i="4"/>
  <c r="F1761" i="4"/>
  <c r="E1761" i="4" s="1"/>
  <c r="D1761" i="4"/>
  <c r="H1760" i="4"/>
  <c r="F1760" i="4"/>
  <c r="E1760" i="4" s="1"/>
  <c r="D1760" i="4"/>
  <c r="H1759" i="4"/>
  <c r="F1759" i="4"/>
  <c r="E1759" i="4" s="1"/>
  <c r="D1759" i="4"/>
  <c r="H1758" i="4"/>
  <c r="F1758" i="4"/>
  <c r="E1758" i="4" s="1"/>
  <c r="D1758" i="4"/>
  <c r="H1741" i="4"/>
  <c r="F1741" i="4"/>
  <c r="E1741" i="4" s="1"/>
  <c r="D1741" i="4"/>
  <c r="H1740" i="4"/>
  <c r="F1740" i="4"/>
  <c r="E1740" i="4" s="1"/>
  <c r="D1740" i="4"/>
  <c r="D1742" i="4"/>
  <c r="F1742" i="4"/>
  <c r="H1742" i="4"/>
  <c r="D1743" i="4"/>
  <c r="F1743" i="4"/>
  <c r="E1743" i="4" s="1"/>
  <c r="H1743" i="4"/>
  <c r="D1744" i="4"/>
  <c r="F1744" i="4"/>
  <c r="E1744" i="4" s="1"/>
  <c r="H1744" i="4"/>
  <c r="D1745" i="4"/>
  <c r="F1745" i="4"/>
  <c r="E1745" i="4" s="1"/>
  <c r="H1745" i="4"/>
  <c r="H1727" i="4"/>
  <c r="F1727" i="4"/>
  <c r="E1727" i="4" s="1"/>
  <c r="D1727" i="4"/>
  <c r="H1726" i="4"/>
  <c r="F1726" i="4"/>
  <c r="E1726" i="4" s="1"/>
  <c r="D1726" i="4"/>
  <c r="H1725" i="4"/>
  <c r="F1725" i="4"/>
  <c r="E1725" i="4" s="1"/>
  <c r="D1725" i="4"/>
  <c r="H1724" i="4"/>
  <c r="F1724" i="4"/>
  <c r="E1724" i="4" s="1"/>
  <c r="D1724" i="4"/>
  <c r="H1723" i="4"/>
  <c r="F1723" i="4"/>
  <c r="E1723" i="4" s="1"/>
  <c r="D1723" i="4"/>
  <c r="H1722" i="4"/>
  <c r="F1722" i="4"/>
  <c r="E1722" i="4" s="1"/>
  <c r="D1722" i="4"/>
  <c r="D1704" i="4"/>
  <c r="F1704" i="4"/>
  <c r="E1704" i="4" s="1"/>
  <c r="H1704" i="4"/>
  <c r="D1705" i="4"/>
  <c r="F1705" i="4"/>
  <c r="E1705" i="4" s="1"/>
  <c r="H1705" i="4"/>
  <c r="D1706" i="4"/>
  <c r="F1706" i="4"/>
  <c r="E1706" i="4" s="1"/>
  <c r="H1706" i="4"/>
  <c r="D1707" i="4"/>
  <c r="F1707" i="4"/>
  <c r="E1707" i="4" s="1"/>
  <c r="H1707" i="4"/>
  <c r="D1708" i="4"/>
  <c r="F1708" i="4"/>
  <c r="E1708" i="4" s="1"/>
  <c r="H1708" i="4"/>
  <c r="D1709" i="4"/>
  <c r="F1709" i="4"/>
  <c r="E1709" i="4" s="1"/>
  <c r="H1709" i="4"/>
  <c r="H1665" i="4"/>
  <c r="F1665" i="4"/>
  <c r="D1665" i="4"/>
  <c r="H1664" i="4"/>
  <c r="F1664" i="4"/>
  <c r="D1664" i="4"/>
  <c r="D1663" i="4"/>
  <c r="F1663" i="4"/>
  <c r="H1663" i="4"/>
  <c r="S1663" i="4" s="1"/>
  <c r="H1662" i="4"/>
  <c r="F1662" i="4"/>
  <c r="D1662" i="4"/>
  <c r="D1661" i="4"/>
  <c r="F1661" i="4"/>
  <c r="H1661" i="4"/>
  <c r="H1660" i="4"/>
  <c r="F1660" i="4"/>
  <c r="D1660" i="4"/>
  <c r="D1642" i="4"/>
  <c r="F1642" i="4"/>
  <c r="E1642" i="4" s="1"/>
  <c r="H1642" i="4"/>
  <c r="D1643" i="4"/>
  <c r="F1643" i="4"/>
  <c r="E1643" i="4" s="1"/>
  <c r="H1643" i="4"/>
  <c r="D1644" i="4"/>
  <c r="F1644" i="4"/>
  <c r="E1644" i="4" s="1"/>
  <c r="H1644" i="4"/>
  <c r="D1645" i="4"/>
  <c r="F1645" i="4"/>
  <c r="E1645" i="4" s="1"/>
  <c r="H1645" i="4"/>
  <c r="D1646" i="4"/>
  <c r="F1646" i="4"/>
  <c r="E1646" i="4" s="1"/>
  <c r="H1646" i="4"/>
  <c r="D1647" i="4"/>
  <c r="F1647" i="4"/>
  <c r="E1647" i="4" s="1"/>
  <c r="H1647" i="4"/>
  <c r="H1625" i="4"/>
  <c r="F1625" i="4"/>
  <c r="D1625" i="4"/>
  <c r="H1624" i="4"/>
  <c r="F1624" i="4"/>
  <c r="E1624" i="4" s="1"/>
  <c r="D1624" i="4"/>
  <c r="H1626" i="4"/>
  <c r="F1626" i="4"/>
  <c r="D1626" i="4"/>
  <c r="D1627" i="4"/>
  <c r="F1627" i="4"/>
  <c r="H1627" i="4"/>
  <c r="D1628" i="4"/>
  <c r="F1628" i="4"/>
  <c r="H1628" i="4"/>
  <c r="D1629" i="4"/>
  <c r="F1629" i="4"/>
  <c r="H1629" i="4"/>
  <c r="H1611" i="4"/>
  <c r="F1611" i="4"/>
  <c r="D1611" i="4"/>
  <c r="H1610" i="4"/>
  <c r="F1610" i="4"/>
  <c r="D1610" i="4"/>
  <c r="H1609" i="4"/>
  <c r="F1609" i="4"/>
  <c r="D1609" i="4"/>
  <c r="Q1609" i="4" s="1"/>
  <c r="H1608" i="4"/>
  <c r="F1608" i="4"/>
  <c r="D1608" i="4"/>
  <c r="H1607" i="4"/>
  <c r="F1607" i="4"/>
  <c r="D1607" i="4"/>
  <c r="H1606" i="4"/>
  <c r="F1606" i="4"/>
  <c r="D1606" i="4"/>
  <c r="Q1606" i="4" s="1"/>
  <c r="H1589" i="4"/>
  <c r="F1589" i="4"/>
  <c r="D1589" i="4"/>
  <c r="H1588" i="4"/>
  <c r="F1588" i="4"/>
  <c r="D1588" i="4"/>
  <c r="D1590" i="4"/>
  <c r="F1590" i="4"/>
  <c r="E1590" i="4" s="1"/>
  <c r="H1590" i="4"/>
  <c r="D1591" i="4"/>
  <c r="F1591" i="4"/>
  <c r="H1591" i="4"/>
  <c r="D1592" i="4"/>
  <c r="F1592" i="4"/>
  <c r="H1592" i="4"/>
  <c r="D1593" i="4"/>
  <c r="F1593" i="4"/>
  <c r="H1593" i="4"/>
  <c r="H1575" i="4"/>
  <c r="F1575" i="4"/>
  <c r="D1575" i="4"/>
  <c r="H1574" i="4"/>
  <c r="F1574" i="4"/>
  <c r="D1574" i="4"/>
  <c r="H1573" i="4"/>
  <c r="F1573" i="4"/>
  <c r="D1573" i="4"/>
  <c r="D1572" i="4"/>
  <c r="F1572" i="4"/>
  <c r="H1572" i="4"/>
  <c r="H1571" i="4"/>
  <c r="F1571" i="4"/>
  <c r="D1571" i="4"/>
  <c r="H1570" i="4"/>
  <c r="F1570" i="4"/>
  <c r="E1570" i="4" s="1"/>
  <c r="D1570" i="4"/>
  <c r="D1557" i="4"/>
  <c r="F1557" i="4"/>
  <c r="H1557" i="4"/>
  <c r="H1556" i="4"/>
  <c r="F1556" i="4"/>
  <c r="D1556" i="4"/>
  <c r="H1555" i="4"/>
  <c r="F1555" i="4"/>
  <c r="D1555" i="4"/>
  <c r="H1554" i="4"/>
  <c r="F1554" i="4"/>
  <c r="E1554" i="4" s="1"/>
  <c r="D1554" i="4"/>
  <c r="H1553" i="4"/>
  <c r="F1553" i="4"/>
  <c r="E1553" i="4" s="1"/>
  <c r="D1553" i="4"/>
  <c r="H1552" i="4"/>
  <c r="F1552" i="4"/>
  <c r="E1552" i="4" s="1"/>
  <c r="D1552" i="4"/>
  <c r="H1536" i="4"/>
  <c r="F1536" i="4"/>
  <c r="E1536" i="4" s="1"/>
  <c r="D1536" i="4"/>
  <c r="H1535" i="4"/>
  <c r="F1535" i="4"/>
  <c r="D1535" i="4"/>
  <c r="H1534" i="4"/>
  <c r="F1534" i="4"/>
  <c r="D1534" i="4"/>
  <c r="D1537" i="4"/>
  <c r="F1537" i="4"/>
  <c r="H1537" i="4"/>
  <c r="D1538" i="4"/>
  <c r="F1538" i="4"/>
  <c r="H1538" i="4"/>
  <c r="D1539" i="4"/>
  <c r="F1539" i="4"/>
  <c r="H1539" i="4"/>
  <c r="G1517" i="4"/>
  <c r="E1517" i="4"/>
  <c r="D1518" i="4"/>
  <c r="F1518" i="4"/>
  <c r="E1518" i="4" s="1"/>
  <c r="H1518" i="4"/>
  <c r="D1519" i="4"/>
  <c r="F1519" i="4"/>
  <c r="H1519" i="4"/>
  <c r="D1520" i="4"/>
  <c r="D1523" i="4" s="1"/>
  <c r="D1524" i="4" s="1"/>
  <c r="D1525" i="4" s="1"/>
  <c r="D1526" i="4" s="1"/>
  <c r="D1527" i="4" s="1"/>
  <c r="F1520" i="4"/>
  <c r="H1520" i="4"/>
  <c r="D1521" i="4"/>
  <c r="F1521" i="4"/>
  <c r="H1521" i="4"/>
  <c r="H1500" i="4"/>
  <c r="F1500" i="4"/>
  <c r="E1500" i="4" s="1"/>
  <c r="D1500" i="4"/>
  <c r="H1499" i="4"/>
  <c r="F1499" i="4"/>
  <c r="E1499" i="4" s="1"/>
  <c r="D1499" i="4"/>
  <c r="H1498" i="4"/>
  <c r="F1498" i="4"/>
  <c r="E1498" i="4" s="1"/>
  <c r="D1498" i="4"/>
  <c r="H1482" i="4"/>
  <c r="F1482" i="4"/>
  <c r="D1482" i="4"/>
  <c r="H1481" i="4"/>
  <c r="F1481" i="4"/>
  <c r="D1481" i="4"/>
  <c r="H1480" i="4"/>
  <c r="F1480" i="4"/>
  <c r="E1480" i="4" s="1"/>
  <c r="D1480" i="4"/>
  <c r="D1485" i="4"/>
  <c r="D1484" i="4"/>
  <c r="D1483" i="4"/>
  <c r="F1485" i="4"/>
  <c r="F1484" i="4"/>
  <c r="F1483" i="4"/>
  <c r="H1483" i="4"/>
  <c r="H1484" i="4"/>
  <c r="H1485" i="4"/>
  <c r="H1467" i="4"/>
  <c r="F1467" i="4"/>
  <c r="D1467" i="4"/>
  <c r="H1466" i="4"/>
  <c r="F1466" i="4"/>
  <c r="D1466" i="4"/>
  <c r="H1465" i="4"/>
  <c r="F1465" i="4"/>
  <c r="D1465" i="4"/>
  <c r="H1464" i="4"/>
  <c r="F1464" i="4"/>
  <c r="E1464" i="4" s="1"/>
  <c r="D1464" i="4"/>
  <c r="H1463" i="4"/>
  <c r="F1463" i="4"/>
  <c r="E1463" i="4" s="1"/>
  <c r="D1463" i="4"/>
  <c r="H1462" i="4"/>
  <c r="F1462" i="4"/>
  <c r="E1462" i="4" s="1"/>
  <c r="D1462" i="4"/>
  <c r="H1444" i="4"/>
  <c r="F1444" i="4"/>
  <c r="E1444" i="4" s="1"/>
  <c r="D1444" i="4"/>
  <c r="H1445" i="4"/>
  <c r="F1445" i="4"/>
  <c r="E1445" i="4" s="1"/>
  <c r="D1445" i="4"/>
  <c r="H1446" i="4"/>
  <c r="F1446" i="4"/>
  <c r="D1446" i="4"/>
  <c r="H1431" i="4"/>
  <c r="F1431" i="4"/>
  <c r="D1431" i="4"/>
  <c r="H1430" i="4"/>
  <c r="F1430" i="4"/>
  <c r="D1430" i="4"/>
  <c r="H1429" i="4"/>
  <c r="F1429" i="4"/>
  <c r="D1429" i="4"/>
  <c r="H1428" i="4"/>
  <c r="F1428" i="4"/>
  <c r="E1428" i="4" s="1"/>
  <c r="D1428" i="4"/>
  <c r="H1427" i="4"/>
  <c r="F1427" i="4"/>
  <c r="E1427" i="4" s="1"/>
  <c r="D1427" i="4"/>
  <c r="H1426" i="4"/>
  <c r="F1426" i="4"/>
  <c r="E1426" i="4" s="1"/>
  <c r="D1426" i="4"/>
  <c r="H1410" i="4"/>
  <c r="F1410" i="4"/>
  <c r="E1410" i="4" s="1"/>
  <c r="D1410" i="4"/>
  <c r="H1409" i="4"/>
  <c r="F1409" i="4"/>
  <c r="E1409" i="4" s="1"/>
  <c r="D1409" i="4"/>
  <c r="H1408" i="4"/>
  <c r="F1408" i="4"/>
  <c r="E1408" i="4" s="1"/>
  <c r="D1408" i="4"/>
  <c r="H1392" i="4"/>
  <c r="F1392" i="4"/>
  <c r="E1392" i="4" s="1"/>
  <c r="D1392" i="4"/>
  <c r="H1391" i="4"/>
  <c r="F1391" i="4"/>
  <c r="E1391" i="4" s="1"/>
  <c r="D1391" i="4"/>
  <c r="H1390" i="4"/>
  <c r="F1390" i="4"/>
  <c r="E1390" i="4" s="1"/>
  <c r="D1390" i="4"/>
  <c r="H1377" i="4"/>
  <c r="F1377" i="4"/>
  <c r="D1377" i="4"/>
  <c r="H1376" i="4"/>
  <c r="F1376" i="4"/>
  <c r="D1376" i="4"/>
  <c r="H1375" i="4"/>
  <c r="F1375" i="4"/>
  <c r="D1375" i="4"/>
  <c r="H1374" i="4"/>
  <c r="F1374" i="4"/>
  <c r="D1374" i="4"/>
  <c r="H1373" i="4"/>
  <c r="F1373" i="4"/>
  <c r="E1373" i="4" s="1"/>
  <c r="D1373" i="4"/>
  <c r="H1372" i="4"/>
  <c r="F1372" i="4"/>
  <c r="D1372" i="4"/>
  <c r="H1355" i="4"/>
  <c r="F1355" i="4"/>
  <c r="E1355" i="4" s="1"/>
  <c r="D1355" i="4"/>
  <c r="H1359" i="4"/>
  <c r="F1359" i="4"/>
  <c r="D1359" i="4"/>
  <c r="H1358" i="4"/>
  <c r="F1358" i="4"/>
  <c r="D1358" i="4"/>
  <c r="H1357" i="4"/>
  <c r="F1357" i="4"/>
  <c r="D1357" i="4"/>
  <c r="H1356" i="4"/>
  <c r="F1356" i="4"/>
  <c r="D1356" i="4"/>
  <c r="H1340" i="4"/>
  <c r="F1340" i="4"/>
  <c r="D1340" i="4"/>
  <c r="H1339" i="4"/>
  <c r="F1339" i="4"/>
  <c r="D1339" i="4"/>
  <c r="H1338" i="4"/>
  <c r="F1338" i="4"/>
  <c r="D1338" i="4"/>
  <c r="G1337" i="4"/>
  <c r="E1337" i="4"/>
  <c r="H1320" i="4"/>
  <c r="F1320" i="4"/>
  <c r="D1320" i="4"/>
  <c r="H1323" i="4"/>
  <c r="F1323" i="4"/>
  <c r="D1323" i="4"/>
  <c r="H1322" i="4"/>
  <c r="F1322" i="4"/>
  <c r="D1322" i="4"/>
  <c r="D1324" i="4" s="1"/>
  <c r="D1325" i="4" s="1"/>
  <c r="D1326" i="4" s="1"/>
  <c r="D1327" i="4" s="1"/>
  <c r="D1328" i="4" s="1"/>
  <c r="D1329" i="4" s="1"/>
  <c r="H1321" i="4"/>
  <c r="F1321" i="4"/>
  <c r="D1321" i="4"/>
  <c r="G1319" i="4"/>
  <c r="E1319" i="4"/>
  <c r="G1299" i="4"/>
  <c r="G1298" i="4"/>
  <c r="G1297" i="4"/>
  <c r="E1299" i="4"/>
  <c r="E1298" i="4"/>
  <c r="E1297" i="4"/>
  <c r="H1305" i="4"/>
  <c r="F1305" i="4"/>
  <c r="D1305" i="4"/>
  <c r="H1304" i="4"/>
  <c r="F1304" i="4"/>
  <c r="D1304" i="4"/>
  <c r="H1303" i="4"/>
  <c r="F1303" i="4"/>
  <c r="E1303" i="4" s="1"/>
  <c r="D1303" i="4"/>
  <c r="H1302" i="4"/>
  <c r="F1302" i="4"/>
  <c r="D1302" i="4"/>
  <c r="H1301" i="4"/>
  <c r="F1301" i="4"/>
  <c r="E1301" i="4" s="1"/>
  <c r="D1301" i="4"/>
  <c r="H1300" i="4"/>
  <c r="F1300" i="4"/>
  <c r="E1300" i="4" s="1"/>
  <c r="D1300" i="4"/>
  <c r="H1287" i="4"/>
  <c r="AV54" i="3" s="1"/>
  <c r="F1287" i="4"/>
  <c r="AT54" i="3" s="1"/>
  <c r="D1287" i="4"/>
  <c r="AR54" i="3" s="1"/>
  <c r="H1286" i="4"/>
  <c r="AQ54" i="3" s="1"/>
  <c r="F1286" i="4"/>
  <c r="AO54" i="3" s="1"/>
  <c r="D1286" i="4"/>
  <c r="AM54" i="3" s="1"/>
  <c r="H1285" i="4"/>
  <c r="AL54" i="3" s="1"/>
  <c r="F1285" i="4"/>
  <c r="AJ54" i="3" s="1"/>
  <c r="D1285" i="4"/>
  <c r="AH54" i="3" s="1"/>
  <c r="H1269" i="4"/>
  <c r="F1269" i="4"/>
  <c r="D1269" i="4"/>
  <c r="H1268" i="4"/>
  <c r="F1268" i="4"/>
  <c r="D1268" i="4"/>
  <c r="H1267" i="4"/>
  <c r="F1267" i="4"/>
  <c r="D1267" i="4"/>
  <c r="H1266" i="4"/>
  <c r="F1266" i="4"/>
  <c r="D1266" i="4"/>
  <c r="H1251" i="4"/>
  <c r="AV79" i="3" s="1"/>
  <c r="F1251" i="4"/>
  <c r="AT79" i="3" s="1"/>
  <c r="D1251" i="4"/>
  <c r="AR79" i="3" s="1"/>
  <c r="H1250" i="4"/>
  <c r="AQ79" i="3" s="1"/>
  <c r="F1250" i="4"/>
  <c r="AO79" i="3" s="1"/>
  <c r="D1250" i="4"/>
  <c r="AM79" i="3" s="1"/>
  <c r="H1249" i="4"/>
  <c r="AL79" i="3" s="1"/>
  <c r="F1249" i="4"/>
  <c r="AJ79" i="3" s="1"/>
  <c r="D1249" i="4"/>
  <c r="AH79" i="3" s="1"/>
  <c r="H1233" i="4"/>
  <c r="F1233" i="4"/>
  <c r="AT78" i="3" s="1"/>
  <c r="D1233" i="4"/>
  <c r="AR78" i="3" s="1"/>
  <c r="H1232" i="4"/>
  <c r="AQ78" i="3" s="1"/>
  <c r="F1232" i="4"/>
  <c r="AO78" i="3" s="1"/>
  <c r="D1232" i="4"/>
  <c r="AM78" i="3" s="1"/>
  <c r="H1231" i="4"/>
  <c r="AL78" i="3" s="1"/>
  <c r="F1231" i="4"/>
  <c r="AJ78" i="3" s="1"/>
  <c r="D1231" i="4"/>
  <c r="AH78" i="3" s="1"/>
  <c r="H1230" i="4"/>
  <c r="AG78" i="3" s="1"/>
  <c r="F1230" i="4"/>
  <c r="AE78" i="3" s="1"/>
  <c r="D1230" i="4"/>
  <c r="AC78" i="3" s="1"/>
  <c r="H1229" i="4"/>
  <c r="F1229" i="4"/>
  <c r="D1229" i="4"/>
  <c r="F1228" i="4"/>
  <c r="D1228" i="4"/>
  <c r="H1215" i="4"/>
  <c r="AV77" i="3" s="1"/>
  <c r="F1215" i="4"/>
  <c r="AT77" i="3" s="1"/>
  <c r="D1215" i="4"/>
  <c r="AR77" i="3" s="1"/>
  <c r="H1214" i="4"/>
  <c r="AQ77" i="3" s="1"/>
  <c r="F1214" i="4"/>
  <c r="AO77" i="3" s="1"/>
  <c r="D1214" i="4"/>
  <c r="AM77" i="3" s="1"/>
  <c r="H1213" i="4"/>
  <c r="AL77" i="3" s="1"/>
  <c r="F1213" i="4"/>
  <c r="AJ77" i="3" s="1"/>
  <c r="D1213" i="4"/>
  <c r="AH77" i="3" s="1"/>
  <c r="H1212" i="4"/>
  <c r="AG77" i="3" s="1"/>
  <c r="F1212" i="4"/>
  <c r="AE77" i="3" s="1"/>
  <c r="D1212" i="4"/>
  <c r="AC77" i="3" s="1"/>
  <c r="H1211" i="4"/>
  <c r="F1211" i="4"/>
  <c r="D1211" i="4"/>
  <c r="H1210" i="4"/>
  <c r="F1210" i="4"/>
  <c r="D1210" i="4"/>
  <c r="D1197" i="4"/>
  <c r="AR76" i="3" s="1"/>
  <c r="F1197" i="4"/>
  <c r="AT76" i="3" s="1"/>
  <c r="H1197" i="4"/>
  <c r="H1196" i="4"/>
  <c r="AQ76" i="3" s="1"/>
  <c r="F1196" i="4"/>
  <c r="AO76" i="3" s="1"/>
  <c r="D1196" i="4"/>
  <c r="AM76" i="3" s="1"/>
  <c r="H1195" i="4"/>
  <c r="AL76" i="3" s="1"/>
  <c r="F1195" i="4"/>
  <c r="AJ76" i="3" s="1"/>
  <c r="D1195" i="4"/>
  <c r="AH76" i="3" s="1"/>
  <c r="H1194" i="4"/>
  <c r="F1194" i="4"/>
  <c r="AE76" i="3" s="1"/>
  <c r="D1194" i="4"/>
  <c r="AC76" i="3" s="1"/>
  <c r="H1193" i="4"/>
  <c r="F1193" i="4"/>
  <c r="D1193" i="4"/>
  <c r="H1192" i="4"/>
  <c r="F1192" i="4"/>
  <c r="D1192" i="4"/>
  <c r="D1179" i="4"/>
  <c r="AR75" i="3" s="1"/>
  <c r="F1179" i="4"/>
  <c r="AT75" i="3" s="1"/>
  <c r="H1179" i="4"/>
  <c r="AV75" i="3" s="1"/>
  <c r="H1178" i="4"/>
  <c r="AQ75" i="3" s="1"/>
  <c r="F1178" i="4"/>
  <c r="AO75" i="3" s="1"/>
  <c r="D1178" i="4"/>
  <c r="AM75" i="3" s="1"/>
  <c r="H1177" i="4"/>
  <c r="AL75" i="3" s="1"/>
  <c r="F1177" i="4"/>
  <c r="AJ75" i="3" s="1"/>
  <c r="D1177" i="4"/>
  <c r="AH75" i="3" s="1"/>
  <c r="D1176" i="4"/>
  <c r="AC75" i="3" s="1"/>
  <c r="F1176" i="4"/>
  <c r="AE75" i="3" s="1"/>
  <c r="H1176" i="4"/>
  <c r="AG75" i="3" s="1"/>
  <c r="H1175" i="4"/>
  <c r="F1175" i="4"/>
  <c r="D1175" i="4"/>
  <c r="H1174" i="4"/>
  <c r="F1174" i="4"/>
  <c r="D1174" i="4"/>
  <c r="D1160" i="4"/>
  <c r="AM74" i="3" s="1"/>
  <c r="F1160" i="4"/>
  <c r="AO74" i="3" s="1"/>
  <c r="H1160" i="4"/>
  <c r="AQ74" i="3" s="1"/>
  <c r="D1161" i="4"/>
  <c r="AR74" i="3" s="1"/>
  <c r="F1161" i="4"/>
  <c r="H1161" i="4"/>
  <c r="AV74" i="3" s="1"/>
  <c r="D1159" i="4"/>
  <c r="AH74" i="3" s="1"/>
  <c r="F1159" i="4"/>
  <c r="H1159" i="4"/>
  <c r="AL74" i="3" s="1"/>
  <c r="H1158" i="4"/>
  <c r="AG74" i="3" s="1"/>
  <c r="F1158" i="4"/>
  <c r="AE74" i="3" s="1"/>
  <c r="D1158" i="4"/>
  <c r="AC74" i="3" s="1"/>
  <c r="D1157" i="4"/>
  <c r="F1157" i="4"/>
  <c r="H1157" i="4"/>
  <c r="H1156" i="4"/>
  <c r="F1156" i="4"/>
  <c r="D1156" i="4"/>
  <c r="D1143" i="4"/>
  <c r="AR73" i="3" s="1"/>
  <c r="D1142" i="4"/>
  <c r="AM73" i="3" s="1"/>
  <c r="F1143" i="4"/>
  <c r="AT73" i="3" s="1"/>
  <c r="F1142" i="4"/>
  <c r="AO73" i="3" s="1"/>
  <c r="H1143" i="4"/>
  <c r="AV73" i="3" s="1"/>
  <c r="H1142" i="4"/>
  <c r="AQ73" i="3" s="1"/>
  <c r="H1141" i="4"/>
  <c r="AL73" i="3" s="1"/>
  <c r="F1141" i="4"/>
  <c r="AJ73" i="3" s="1"/>
  <c r="D1141" i="4"/>
  <c r="AH73" i="3" s="1"/>
  <c r="H1140" i="4"/>
  <c r="AG73" i="3" s="1"/>
  <c r="F1140" i="4"/>
  <c r="AE73" i="3" s="1"/>
  <c r="D1140" i="4"/>
  <c r="AC73" i="3" s="1"/>
  <c r="D1139" i="4"/>
  <c r="F1139" i="4"/>
  <c r="H1139" i="4"/>
  <c r="H1138" i="4"/>
  <c r="F1138" i="4"/>
  <c r="D1138" i="4"/>
  <c r="H1125" i="4"/>
  <c r="AV72" i="3" s="1"/>
  <c r="F1125" i="4"/>
  <c r="AT72" i="3" s="1"/>
  <c r="D1125" i="4"/>
  <c r="AR72" i="3" s="1"/>
  <c r="H1124" i="4"/>
  <c r="AQ72" i="3" s="1"/>
  <c r="F1124" i="4"/>
  <c r="AO72" i="3" s="1"/>
  <c r="D1124" i="4"/>
  <c r="AM72" i="3" s="1"/>
  <c r="H1123" i="4"/>
  <c r="AL72" i="3" s="1"/>
  <c r="F1123" i="4"/>
  <c r="AJ72" i="3" s="1"/>
  <c r="D1123" i="4"/>
  <c r="AH72" i="3" s="1"/>
  <c r="H1122" i="4"/>
  <c r="AG72" i="3" s="1"/>
  <c r="F1122" i="4"/>
  <c r="AE72" i="3" s="1"/>
  <c r="D1122" i="4"/>
  <c r="AC72" i="3" s="1"/>
  <c r="H1121" i="4"/>
  <c r="F1121" i="4"/>
  <c r="D1121" i="4"/>
  <c r="H1120" i="4"/>
  <c r="F1120" i="4"/>
  <c r="D1120" i="4"/>
  <c r="D1107" i="4"/>
  <c r="AR71" i="3" s="1"/>
  <c r="F1107" i="4"/>
  <c r="AT71" i="3" s="1"/>
  <c r="H1107" i="4"/>
  <c r="AV71" i="3" s="1"/>
  <c r="H1106" i="4"/>
  <c r="AQ71" i="3" s="1"/>
  <c r="F1106" i="4"/>
  <c r="AO71" i="3" s="1"/>
  <c r="D1106" i="4"/>
  <c r="AM71" i="3" s="1"/>
  <c r="H1105" i="4"/>
  <c r="AL71" i="3" s="1"/>
  <c r="F1105" i="4"/>
  <c r="AJ71" i="3" s="1"/>
  <c r="D1105" i="4"/>
  <c r="AH71" i="3" s="1"/>
  <c r="H1104" i="4"/>
  <c r="AG71" i="3" s="1"/>
  <c r="F1104" i="4"/>
  <c r="AE71" i="3" s="1"/>
  <c r="D1104" i="4"/>
  <c r="AC71" i="3" s="1"/>
  <c r="H1103" i="4"/>
  <c r="F1103" i="4"/>
  <c r="D1103" i="4"/>
  <c r="H1102" i="4"/>
  <c r="F1102" i="4"/>
  <c r="D1102" i="4"/>
  <c r="H1089" i="4"/>
  <c r="AV70" i="3" s="1"/>
  <c r="F1089" i="4"/>
  <c r="AT70" i="3" s="1"/>
  <c r="D1089" i="4"/>
  <c r="AR70" i="3" s="1"/>
  <c r="H1088" i="4"/>
  <c r="AQ70" i="3" s="1"/>
  <c r="F1088" i="4"/>
  <c r="AO70" i="3" s="1"/>
  <c r="D1088" i="4"/>
  <c r="AM70" i="3" s="1"/>
  <c r="D1087" i="4"/>
  <c r="AH70" i="3" s="1"/>
  <c r="F1087" i="4"/>
  <c r="AJ70" i="3" s="1"/>
  <c r="H1087" i="4"/>
  <c r="AL70" i="3" s="1"/>
  <c r="H1086" i="4"/>
  <c r="AG70" i="3" s="1"/>
  <c r="F1086" i="4"/>
  <c r="AE70" i="3" s="1"/>
  <c r="D1086" i="4"/>
  <c r="AC70" i="3" s="1"/>
  <c r="D1085" i="4"/>
  <c r="F1085" i="4"/>
  <c r="H1085" i="4"/>
  <c r="H1084" i="4"/>
  <c r="F1084" i="4"/>
  <c r="D1084" i="4"/>
  <c r="D1071" i="4"/>
  <c r="D1070" i="4"/>
  <c r="Q1070" i="4" s="1"/>
  <c r="F1071" i="4"/>
  <c r="AE841" i="4" s="1"/>
  <c r="F1070" i="4"/>
  <c r="H1070" i="4"/>
  <c r="AQ68" i="3" s="1"/>
  <c r="H1071" i="4"/>
  <c r="AV68" i="3" s="1"/>
  <c r="D1069" i="4"/>
  <c r="F1069" i="4"/>
  <c r="H1069" i="4"/>
  <c r="H1068" i="4"/>
  <c r="AG68" i="3" s="1"/>
  <c r="F1068" i="4"/>
  <c r="D1068" i="4"/>
  <c r="D1067" i="4"/>
  <c r="F1067" i="4"/>
  <c r="S1067" i="4" s="1"/>
  <c r="H1067" i="4"/>
  <c r="H1066" i="4"/>
  <c r="F1066" i="4"/>
  <c r="D1066" i="4"/>
  <c r="D1053" i="4"/>
  <c r="F1053" i="4"/>
  <c r="H1053" i="4"/>
  <c r="AV67" i="3" s="1"/>
  <c r="H1052" i="4"/>
  <c r="AQ67" i="3" s="1"/>
  <c r="F1052" i="4"/>
  <c r="D1052" i="4"/>
  <c r="D1051" i="4"/>
  <c r="F1051" i="4"/>
  <c r="H1051" i="4"/>
  <c r="AL67" i="3" s="1"/>
  <c r="H1050" i="4"/>
  <c r="AG67" i="3" s="1"/>
  <c r="F1050" i="4"/>
  <c r="D1050" i="4"/>
  <c r="D1049" i="4"/>
  <c r="Q1049" i="4" s="1"/>
  <c r="F1049" i="4"/>
  <c r="H1049" i="4"/>
  <c r="H1048" i="4"/>
  <c r="F1048" i="4"/>
  <c r="D1048" i="4"/>
  <c r="D1035" i="4"/>
  <c r="F1035" i="4"/>
  <c r="H1035" i="4"/>
  <c r="AV66" i="3" s="1"/>
  <c r="H1034" i="4"/>
  <c r="AQ66" i="3" s="1"/>
  <c r="F1034" i="4"/>
  <c r="S1034" i="4" s="1"/>
  <c r="D1034" i="4"/>
  <c r="H1033" i="4"/>
  <c r="AL66" i="3" s="1"/>
  <c r="F1033" i="4"/>
  <c r="D1033" i="4"/>
  <c r="D1032" i="4"/>
  <c r="F1032" i="4"/>
  <c r="H1032" i="4"/>
  <c r="AG66" i="3" s="1"/>
  <c r="H1031" i="4"/>
  <c r="F1031" i="4"/>
  <c r="S1031" i="4" s="1"/>
  <c r="D1031" i="4"/>
  <c r="Q1031" i="4" s="1"/>
  <c r="H1030" i="4"/>
  <c r="F1030" i="4"/>
  <c r="D1030" i="4"/>
  <c r="D1017" i="4"/>
  <c r="F1017" i="4"/>
  <c r="H1017" i="4"/>
  <c r="AV65" i="3" s="1"/>
  <c r="H1016" i="4"/>
  <c r="AQ65" i="3" s="1"/>
  <c r="F1016" i="4"/>
  <c r="D1016" i="4"/>
  <c r="H1015" i="4"/>
  <c r="AL65" i="3" s="1"/>
  <c r="F1015" i="4"/>
  <c r="D1015" i="4"/>
  <c r="H1014" i="4"/>
  <c r="AG65" i="3" s="1"/>
  <c r="F1014" i="4"/>
  <c r="D1014" i="4"/>
  <c r="H1013" i="4"/>
  <c r="F1013" i="4"/>
  <c r="S1013" i="4" s="1"/>
  <c r="D1013" i="4"/>
  <c r="H1012" i="4"/>
  <c r="F1012" i="4"/>
  <c r="D1012" i="4"/>
  <c r="D994" i="4"/>
  <c r="Q994" i="4" s="1"/>
  <c r="F994" i="4"/>
  <c r="H994" i="4"/>
  <c r="D995" i="4"/>
  <c r="F995" i="4"/>
  <c r="H995" i="4"/>
  <c r="D996" i="4"/>
  <c r="F996" i="4"/>
  <c r="H996" i="4"/>
  <c r="AG64" i="3" s="1"/>
  <c r="D997" i="4"/>
  <c r="F997" i="4"/>
  <c r="H997" i="4"/>
  <c r="AL64" i="3" s="1"/>
  <c r="D998" i="4"/>
  <c r="F998" i="4"/>
  <c r="H998" i="4"/>
  <c r="AQ64" i="3" s="1"/>
  <c r="D999" i="4"/>
  <c r="F999" i="4"/>
  <c r="AE836" i="4" s="1"/>
  <c r="H999" i="4"/>
  <c r="D981" i="4"/>
  <c r="D980" i="4"/>
  <c r="F981" i="4"/>
  <c r="AE835" i="4" s="1"/>
  <c r="F980" i="4"/>
  <c r="H980" i="4"/>
  <c r="AQ63" i="3" s="1"/>
  <c r="H981" i="4"/>
  <c r="AV63" i="3" s="1"/>
  <c r="H979" i="4"/>
  <c r="AL63" i="3" s="1"/>
  <c r="F979" i="4"/>
  <c r="D979" i="4"/>
  <c r="D978" i="4"/>
  <c r="F978" i="4"/>
  <c r="H978" i="4"/>
  <c r="H977" i="4"/>
  <c r="F977" i="4"/>
  <c r="D977" i="4"/>
  <c r="H976" i="4"/>
  <c r="F976" i="4"/>
  <c r="S976" i="4" s="1"/>
  <c r="D976" i="4"/>
  <c r="Q976" i="4" s="1"/>
  <c r="D959" i="4"/>
  <c r="F959" i="4"/>
  <c r="H959" i="4"/>
  <c r="H958" i="4"/>
  <c r="F958" i="4"/>
  <c r="D958" i="4"/>
  <c r="D960" i="4"/>
  <c r="F960" i="4"/>
  <c r="H960" i="4"/>
  <c r="AG62" i="3" s="1"/>
  <c r="D961" i="4"/>
  <c r="F961" i="4"/>
  <c r="H961" i="4"/>
  <c r="AL62" i="3" s="1"/>
  <c r="D962" i="4"/>
  <c r="F962" i="4"/>
  <c r="H962" i="4"/>
  <c r="AQ62" i="3" s="1"/>
  <c r="D963" i="4"/>
  <c r="F963" i="4"/>
  <c r="H963" i="4"/>
  <c r="AV62" i="3" s="1"/>
  <c r="H944" i="4"/>
  <c r="AQ61" i="3" s="1"/>
  <c r="F944" i="4"/>
  <c r="D944" i="4"/>
  <c r="D945" i="4"/>
  <c r="F945" i="4"/>
  <c r="H945" i="4"/>
  <c r="AV61" i="3" s="1"/>
  <c r="D943" i="4"/>
  <c r="F943" i="4"/>
  <c r="H943" i="4"/>
  <c r="AL61" i="3" s="1"/>
  <c r="H942" i="4"/>
  <c r="AG61" i="3" s="1"/>
  <c r="F942" i="4"/>
  <c r="D942" i="4"/>
  <c r="D941" i="4"/>
  <c r="Q941" i="4" s="1"/>
  <c r="F941" i="4"/>
  <c r="S941" i="4" s="1"/>
  <c r="H941" i="4"/>
  <c r="H940" i="4"/>
  <c r="F940" i="4"/>
  <c r="D940" i="4"/>
  <c r="D923" i="4"/>
  <c r="F923" i="4"/>
  <c r="S923" i="4" s="1"/>
  <c r="H923" i="4"/>
  <c r="H922" i="4"/>
  <c r="F922" i="4"/>
  <c r="D922" i="4"/>
  <c r="Q922" i="4" s="1"/>
  <c r="D924" i="4"/>
  <c r="D925" i="4"/>
  <c r="D926" i="4"/>
  <c r="D927" i="4"/>
  <c r="F927" i="4"/>
  <c r="F926" i="4"/>
  <c r="F925" i="4"/>
  <c r="F924" i="4"/>
  <c r="H924" i="4"/>
  <c r="AG60" i="3" s="1"/>
  <c r="H925" i="4"/>
  <c r="AL60" i="3" s="1"/>
  <c r="H926" i="4"/>
  <c r="AQ60" i="3" s="1"/>
  <c r="H927" i="4"/>
  <c r="AV60" i="3" s="1"/>
  <c r="D909" i="4"/>
  <c r="F909" i="4"/>
  <c r="H909" i="4"/>
  <c r="AV59" i="3" s="1"/>
  <c r="H908" i="4"/>
  <c r="AQ59" i="3" s="1"/>
  <c r="F908" i="4"/>
  <c r="D908" i="4"/>
  <c r="D907" i="4"/>
  <c r="F907" i="4"/>
  <c r="H907" i="4"/>
  <c r="AL59" i="3" s="1"/>
  <c r="H906" i="4"/>
  <c r="AG59" i="3" s="1"/>
  <c r="F906" i="4"/>
  <c r="D906" i="4"/>
  <c r="D905" i="4"/>
  <c r="F905" i="4"/>
  <c r="H905" i="4"/>
  <c r="H904" i="4"/>
  <c r="F904" i="4"/>
  <c r="D904" i="4"/>
  <c r="D886" i="4"/>
  <c r="Q886" i="4" s="1"/>
  <c r="F886" i="4"/>
  <c r="H886" i="4"/>
  <c r="H887" i="4"/>
  <c r="F887" i="4"/>
  <c r="D887" i="4"/>
  <c r="F888" i="4"/>
  <c r="D888" i="4"/>
  <c r="F889" i="4"/>
  <c r="D889" i="4"/>
  <c r="F890" i="4"/>
  <c r="D890" i="4"/>
  <c r="D891" i="4"/>
  <c r="Q891" i="4" s="1"/>
  <c r="F891" i="4"/>
  <c r="S891" i="4" s="1"/>
  <c r="H888" i="4"/>
  <c r="AG58" i="3" s="1"/>
  <c r="H889" i="4"/>
  <c r="AL58" i="3" s="1"/>
  <c r="H890" i="4"/>
  <c r="AQ58" i="3" s="1"/>
  <c r="H891" i="4"/>
  <c r="AV58" i="3" s="1"/>
  <c r="D872" i="4"/>
  <c r="F872" i="4"/>
  <c r="S872" i="4" s="1"/>
  <c r="H872" i="4"/>
  <c r="AQ57" i="3" s="1"/>
  <c r="D873" i="4"/>
  <c r="F873" i="4"/>
  <c r="H873" i="4"/>
  <c r="H871" i="4"/>
  <c r="F871" i="4"/>
  <c r="D871" i="4"/>
  <c r="H870" i="4"/>
  <c r="AG57" i="3" s="1"/>
  <c r="F870" i="4"/>
  <c r="D870" i="4"/>
  <c r="D869" i="4"/>
  <c r="F869" i="4"/>
  <c r="S869" i="4" s="1"/>
  <c r="H869" i="4"/>
  <c r="H868" i="4"/>
  <c r="F868" i="4"/>
  <c r="D868" i="4"/>
  <c r="D855" i="4"/>
  <c r="D854" i="4"/>
  <c r="Q854" i="4" s="1"/>
  <c r="F855" i="4"/>
  <c r="F854" i="4"/>
  <c r="S854" i="4" s="1"/>
  <c r="H854" i="4"/>
  <c r="AQ56" i="3" s="1"/>
  <c r="H855" i="4"/>
  <c r="AV56" i="3" s="1"/>
  <c r="D853" i="4"/>
  <c r="Q853" i="4" s="1"/>
  <c r="F853" i="4"/>
  <c r="H853" i="4"/>
  <c r="AL56" i="3" s="1"/>
  <c r="H852" i="4"/>
  <c r="AG56" i="3" s="1"/>
  <c r="F852" i="4"/>
  <c r="D852" i="4"/>
  <c r="Q852" i="4" s="1"/>
  <c r="D851" i="4"/>
  <c r="Q851" i="4" s="1"/>
  <c r="F851" i="4"/>
  <c r="S851" i="4" s="1"/>
  <c r="H851" i="4"/>
  <c r="H850" i="4"/>
  <c r="F850" i="4"/>
  <c r="D850" i="4"/>
  <c r="D836" i="4"/>
  <c r="F836" i="4"/>
  <c r="H836" i="4"/>
  <c r="AQ55" i="3" s="1"/>
  <c r="H837" i="4"/>
  <c r="AV55" i="3" s="1"/>
  <c r="F837" i="4"/>
  <c r="D837" i="4"/>
  <c r="H835" i="4"/>
  <c r="AL55" i="3" s="1"/>
  <c r="F835" i="4"/>
  <c r="D835" i="4"/>
  <c r="D834" i="4"/>
  <c r="F834" i="4"/>
  <c r="H834" i="4"/>
  <c r="AG55" i="3" s="1"/>
  <c r="H833" i="4"/>
  <c r="F833" i="4"/>
  <c r="S833" i="4" s="1"/>
  <c r="D833" i="4"/>
  <c r="Q833" i="4" s="1"/>
  <c r="H832" i="4"/>
  <c r="F832" i="4"/>
  <c r="D832" i="4"/>
  <c r="D815" i="4"/>
  <c r="F815" i="4"/>
  <c r="H815" i="4"/>
  <c r="H814" i="4"/>
  <c r="F814" i="4"/>
  <c r="D814" i="4"/>
  <c r="D816" i="4"/>
  <c r="AC52" i="3" s="1"/>
  <c r="F816" i="4"/>
  <c r="AE52" i="3" s="1"/>
  <c r="H816" i="4"/>
  <c r="AG52" i="3" s="1"/>
  <c r="H797" i="4"/>
  <c r="F797" i="4"/>
  <c r="D797" i="4"/>
  <c r="H796" i="4"/>
  <c r="F796" i="4"/>
  <c r="D796" i="4"/>
  <c r="H782" i="4"/>
  <c r="AQ50" i="3" s="1"/>
  <c r="F782" i="4"/>
  <c r="AO50" i="3" s="1"/>
  <c r="D782" i="4"/>
  <c r="AM50" i="3" s="1"/>
  <c r="D781" i="4"/>
  <c r="AH50" i="3" s="1"/>
  <c r="F781" i="4"/>
  <c r="AJ50" i="3" s="1"/>
  <c r="H781" i="4"/>
  <c r="AL50" i="3" s="1"/>
  <c r="H780" i="4"/>
  <c r="AG50" i="3" s="1"/>
  <c r="F780" i="4"/>
  <c r="AE50" i="3" s="1"/>
  <c r="D780" i="4"/>
  <c r="AC50" i="3" s="1"/>
  <c r="H779" i="4"/>
  <c r="F779" i="4"/>
  <c r="D779" i="4"/>
  <c r="H778" i="4"/>
  <c r="F778" i="4"/>
  <c r="D778" i="4"/>
  <c r="H746" i="4"/>
  <c r="AQ48" i="3" s="1"/>
  <c r="F746" i="4"/>
  <c r="AO48" i="3" s="1"/>
  <c r="D746" i="4"/>
  <c r="AM48" i="3" s="1"/>
  <c r="D744" i="4"/>
  <c r="AC48" i="3" s="1"/>
  <c r="F744" i="4"/>
  <c r="AE48" i="3" s="1"/>
  <c r="H744" i="4"/>
  <c r="AG48" i="3" s="1"/>
  <c r="H743" i="4"/>
  <c r="F743" i="4"/>
  <c r="D743" i="4"/>
  <c r="H742" i="4"/>
  <c r="F742" i="4"/>
  <c r="D742" i="4"/>
  <c r="H728" i="4"/>
  <c r="AQ47" i="3" s="1"/>
  <c r="F728" i="4"/>
  <c r="AO47" i="3" s="1"/>
  <c r="D728" i="4"/>
  <c r="H726" i="4"/>
  <c r="AG47" i="3" s="1"/>
  <c r="F726" i="4"/>
  <c r="AE47" i="3" s="1"/>
  <c r="D726" i="4"/>
  <c r="AC47" i="3" s="1"/>
  <c r="H725" i="4"/>
  <c r="F725" i="4"/>
  <c r="D725" i="4"/>
  <c r="H724" i="4"/>
  <c r="F724" i="4"/>
  <c r="D724" i="4"/>
  <c r="E518" i="4"/>
  <c r="D711" i="4"/>
  <c r="AR46" i="3" s="1"/>
  <c r="F711" i="4"/>
  <c r="AT46" i="3" s="1"/>
  <c r="H711" i="4"/>
  <c r="H710" i="4"/>
  <c r="F710" i="4"/>
  <c r="AO46" i="3" s="1"/>
  <c r="D710" i="4"/>
  <c r="AM46" i="3" s="1"/>
  <c r="H709" i="4"/>
  <c r="AL46" i="3" s="1"/>
  <c r="F709" i="4"/>
  <c r="AJ46" i="3" s="1"/>
  <c r="D709" i="4"/>
  <c r="AH46" i="3" s="1"/>
  <c r="H708" i="4"/>
  <c r="AG46" i="3" s="1"/>
  <c r="F708" i="4"/>
  <c r="AE46" i="3" s="1"/>
  <c r="D708" i="4"/>
  <c r="AC46" i="3" s="1"/>
  <c r="H707" i="4"/>
  <c r="F707" i="4"/>
  <c r="D707" i="4"/>
  <c r="H706" i="4"/>
  <c r="F706" i="4"/>
  <c r="D706" i="4"/>
  <c r="D693" i="4"/>
  <c r="F693" i="4"/>
  <c r="AT45" i="3" s="1"/>
  <c r="H693" i="4"/>
  <c r="AV45" i="3" s="1"/>
  <c r="H692" i="4"/>
  <c r="AQ45" i="3" s="1"/>
  <c r="F692" i="4"/>
  <c r="AO45" i="3" s="1"/>
  <c r="D692" i="4"/>
  <c r="H691" i="4"/>
  <c r="AL45" i="3" s="1"/>
  <c r="F691" i="4"/>
  <c r="D691" i="4"/>
  <c r="H690" i="4"/>
  <c r="AG45" i="3" s="1"/>
  <c r="F690" i="4"/>
  <c r="D690" i="4"/>
  <c r="AC45" i="3" s="1"/>
  <c r="H689" i="4"/>
  <c r="F689" i="4"/>
  <c r="D689" i="4"/>
  <c r="H688" i="4"/>
  <c r="F688" i="4"/>
  <c r="D688" i="4"/>
  <c r="D675" i="4"/>
  <c r="AR44" i="3" s="1"/>
  <c r="D674" i="4"/>
  <c r="AM44" i="3" s="1"/>
  <c r="F675" i="4"/>
  <c r="AT44" i="3" s="1"/>
  <c r="F674" i="4"/>
  <c r="AO44" i="3" s="1"/>
  <c r="H675" i="4"/>
  <c r="AV44" i="3" s="1"/>
  <c r="H674" i="4"/>
  <c r="H673" i="4"/>
  <c r="AL44" i="3" s="1"/>
  <c r="F673" i="4"/>
  <c r="AJ44" i="3" s="1"/>
  <c r="D673" i="4"/>
  <c r="AH44" i="3" s="1"/>
  <c r="H672" i="4"/>
  <c r="AG44" i="3" s="1"/>
  <c r="F672" i="4"/>
  <c r="AE44" i="3" s="1"/>
  <c r="D672" i="4"/>
  <c r="AC44" i="3" s="1"/>
  <c r="H671" i="4"/>
  <c r="F671" i="4"/>
  <c r="D671" i="4"/>
  <c r="H670" i="4"/>
  <c r="F670" i="4"/>
  <c r="D670" i="4"/>
  <c r="D652" i="4"/>
  <c r="F652" i="4"/>
  <c r="H652" i="4"/>
  <c r="D653" i="4"/>
  <c r="F653" i="4"/>
  <c r="H653" i="4"/>
  <c r="D654" i="4"/>
  <c r="AC43" i="3" s="1"/>
  <c r="F654" i="4"/>
  <c r="H654" i="4"/>
  <c r="AG43" i="3" s="1"/>
  <c r="D655" i="4"/>
  <c r="AH43" i="3" s="1"/>
  <c r="F655" i="4"/>
  <c r="AJ43" i="3" s="1"/>
  <c r="H655" i="4"/>
  <c r="AL43" i="3" s="1"/>
  <c r="D656" i="4"/>
  <c r="AM43" i="3" s="1"/>
  <c r="F656" i="4"/>
  <c r="H656" i="4"/>
  <c r="AQ43" i="3" s="1"/>
  <c r="D657" i="4"/>
  <c r="AR43" i="3" s="1"/>
  <c r="F657" i="4"/>
  <c r="AT43" i="3" s="1"/>
  <c r="H657" i="4"/>
  <c r="D639" i="4"/>
  <c r="F639" i="4"/>
  <c r="H639" i="4"/>
  <c r="H638" i="4"/>
  <c r="AQ42" i="3" s="1"/>
  <c r="F638" i="4"/>
  <c r="AO42" i="3" s="1"/>
  <c r="D638" i="4"/>
  <c r="H637" i="4"/>
  <c r="AL42" i="3" s="1"/>
  <c r="F637" i="4"/>
  <c r="AJ42" i="3" s="1"/>
  <c r="D637" i="4"/>
  <c r="H636" i="4"/>
  <c r="AG42" i="3" s="1"/>
  <c r="F636" i="4"/>
  <c r="D636" i="4"/>
  <c r="AC42" i="3" s="1"/>
  <c r="H635" i="4"/>
  <c r="F635" i="4"/>
  <c r="E635" i="4" s="1"/>
  <c r="D635" i="4"/>
  <c r="H634" i="4"/>
  <c r="F634" i="4"/>
  <c r="D634" i="4"/>
  <c r="D621" i="4"/>
  <c r="F621" i="4"/>
  <c r="AT41" i="3" s="1"/>
  <c r="H621" i="4"/>
  <c r="AV41" i="3" s="1"/>
  <c r="H620" i="4"/>
  <c r="AQ41" i="3" s="1"/>
  <c r="F620" i="4"/>
  <c r="AO41" i="3" s="1"/>
  <c r="D620" i="4"/>
  <c r="H619" i="4"/>
  <c r="AL41" i="3" s="1"/>
  <c r="F619" i="4"/>
  <c r="D619" i="4"/>
  <c r="H618" i="4"/>
  <c r="F618" i="4"/>
  <c r="AE41" i="3" s="1"/>
  <c r="D618" i="4"/>
  <c r="AC41" i="3" s="1"/>
  <c r="H617" i="4"/>
  <c r="F617" i="4"/>
  <c r="D617" i="4"/>
  <c r="H616" i="4"/>
  <c r="F616" i="4"/>
  <c r="D616" i="4"/>
  <c r="D598" i="4"/>
  <c r="F598" i="4"/>
  <c r="H598" i="4"/>
  <c r="H599" i="4"/>
  <c r="D599" i="4"/>
  <c r="F599" i="4"/>
  <c r="D600" i="4"/>
  <c r="AC40" i="3" s="1"/>
  <c r="F600" i="4"/>
  <c r="AE40" i="3" s="1"/>
  <c r="H600" i="4"/>
  <c r="AG40" i="3" s="1"/>
  <c r="D601" i="4"/>
  <c r="F601" i="4"/>
  <c r="H601" i="4"/>
  <c r="D602" i="4"/>
  <c r="F602" i="4"/>
  <c r="AO40" i="3" s="1"/>
  <c r="H602" i="4"/>
  <c r="D603" i="4"/>
  <c r="F603" i="4"/>
  <c r="AT40" i="3" s="1"/>
  <c r="H603" i="4"/>
  <c r="AV40" i="3" s="1"/>
  <c r="D585" i="4"/>
  <c r="F585" i="4"/>
  <c r="AT39" i="3" s="1"/>
  <c r="H585" i="4"/>
  <c r="D584" i="4"/>
  <c r="F584" i="4"/>
  <c r="H584" i="4"/>
  <c r="AQ39" i="3" s="1"/>
  <c r="H583" i="4"/>
  <c r="AL39" i="3" s="1"/>
  <c r="F583" i="4"/>
  <c r="AJ39" i="3" s="1"/>
  <c r="D583" i="4"/>
  <c r="H582" i="4"/>
  <c r="AG39" i="3" s="1"/>
  <c r="F582" i="4"/>
  <c r="AE39" i="3" s="1"/>
  <c r="D582" i="4"/>
  <c r="AC39" i="3" s="1"/>
  <c r="H581" i="4"/>
  <c r="F581" i="4"/>
  <c r="D581" i="4"/>
  <c r="H580" i="4"/>
  <c r="F580" i="4"/>
  <c r="D580" i="4"/>
  <c r="H554" i="4"/>
  <c r="AV37" i="3" s="1"/>
  <c r="F554" i="4"/>
  <c r="AT37" i="3" s="1"/>
  <c r="D554" i="4"/>
  <c r="D553" i="4"/>
  <c r="F553" i="4"/>
  <c r="AO37" i="3" s="1"/>
  <c r="H553" i="4"/>
  <c r="AQ37" i="3" s="1"/>
  <c r="H552" i="4"/>
  <c r="AL37" i="3" s="1"/>
  <c r="F552" i="4"/>
  <c r="AJ37" i="3" s="1"/>
  <c r="D552" i="4"/>
  <c r="H551" i="4"/>
  <c r="AG37" i="3" s="1"/>
  <c r="F551" i="4"/>
  <c r="D551" i="4"/>
  <c r="AC37" i="3" s="1"/>
  <c r="H550" i="4"/>
  <c r="F550" i="4"/>
  <c r="D550" i="4"/>
  <c r="H549" i="4"/>
  <c r="F549" i="4"/>
  <c r="D549" i="4"/>
  <c r="H471" i="4"/>
  <c r="AG32" i="3" s="1"/>
  <c r="H470" i="4"/>
  <c r="H469" i="4"/>
  <c r="F471" i="4"/>
  <c r="AE32" i="3" s="1"/>
  <c r="F470" i="4"/>
  <c r="F469" i="4"/>
  <c r="D471" i="4"/>
  <c r="AC32" i="3" s="1"/>
  <c r="D470" i="4"/>
  <c r="D469" i="4"/>
  <c r="D474" i="4"/>
  <c r="D473" i="4"/>
  <c r="D472" i="4"/>
  <c r="F474" i="4"/>
  <c r="AT32" i="3" s="1"/>
  <c r="F473" i="4"/>
  <c r="AO32" i="3" s="1"/>
  <c r="F472" i="4"/>
  <c r="AJ32" i="3" s="1"/>
  <c r="H472" i="4"/>
  <c r="AL32" i="3" s="1"/>
  <c r="H473" i="4"/>
  <c r="AQ32" i="3" s="1"/>
  <c r="H474" i="4"/>
  <c r="AV32" i="3" s="1"/>
  <c r="D454" i="4"/>
  <c r="AH31" i="3" s="1"/>
  <c r="D455" i="4"/>
  <c r="AM31" i="3" s="1"/>
  <c r="D456" i="4"/>
  <c r="AR31" i="3" s="1"/>
  <c r="F456" i="4"/>
  <c r="AT31" i="3" s="1"/>
  <c r="F455" i="4"/>
  <c r="AO31" i="3" s="1"/>
  <c r="F454" i="4"/>
  <c r="AJ31" i="3" s="1"/>
  <c r="H454" i="4"/>
  <c r="AL31" i="3" s="1"/>
  <c r="H455" i="4"/>
  <c r="AQ31" i="3" s="1"/>
  <c r="H456" i="4"/>
  <c r="AV31" i="3" s="1"/>
  <c r="D453" i="4"/>
  <c r="AC31" i="3" s="1"/>
  <c r="D452" i="4"/>
  <c r="F452" i="4"/>
  <c r="F453" i="4"/>
  <c r="AE31" i="3" s="1"/>
  <c r="H453" i="4"/>
  <c r="AG31" i="3" s="1"/>
  <c r="H452" i="4"/>
  <c r="H451" i="4"/>
  <c r="F451" i="4"/>
  <c r="D451" i="4"/>
  <c r="D436" i="4"/>
  <c r="AH30" i="3" s="1"/>
  <c r="D437" i="4"/>
  <c r="AM30" i="3" s="1"/>
  <c r="D438" i="4"/>
  <c r="AR30" i="3" s="1"/>
  <c r="F438" i="4"/>
  <c r="AT30" i="3" s="1"/>
  <c r="F437" i="4"/>
  <c r="AO30" i="3" s="1"/>
  <c r="F436" i="4"/>
  <c r="AJ30" i="3" s="1"/>
  <c r="H436" i="4"/>
  <c r="AL30" i="3" s="1"/>
  <c r="H437" i="4"/>
  <c r="AQ30" i="3" s="1"/>
  <c r="H438" i="4"/>
  <c r="AV30" i="3" s="1"/>
  <c r="H434" i="4"/>
  <c r="F434" i="4"/>
  <c r="D434" i="4"/>
  <c r="D435" i="4"/>
  <c r="AC30" i="3" s="1"/>
  <c r="F435" i="4"/>
  <c r="AE30" i="3" s="1"/>
  <c r="H435" i="4"/>
  <c r="AG30" i="3" s="1"/>
  <c r="H433" i="4"/>
  <c r="F433" i="4"/>
  <c r="D433" i="4"/>
  <c r="H415" i="4"/>
  <c r="F415" i="4"/>
  <c r="D415" i="4"/>
  <c r="D416" i="4"/>
  <c r="F416" i="4"/>
  <c r="H416" i="4"/>
  <c r="D417" i="4"/>
  <c r="AC29" i="3" s="1"/>
  <c r="F417" i="4"/>
  <c r="AE29" i="3" s="1"/>
  <c r="H417" i="4"/>
  <c r="AG29" i="3" s="1"/>
  <c r="D420" i="4"/>
  <c r="AR29" i="3" s="1"/>
  <c r="D419" i="4"/>
  <c r="AM29" i="3" s="1"/>
  <c r="D418" i="4"/>
  <c r="AH29" i="3" s="1"/>
  <c r="F418" i="4"/>
  <c r="AJ29" i="3" s="1"/>
  <c r="F420" i="4"/>
  <c r="AT29" i="3" s="1"/>
  <c r="F419" i="4"/>
  <c r="AO29" i="3" s="1"/>
  <c r="H418" i="4"/>
  <c r="AL29" i="3" s="1"/>
  <c r="H419" i="4"/>
  <c r="AQ29" i="3" s="1"/>
  <c r="H420" i="4"/>
  <c r="AV29" i="3" s="1"/>
  <c r="H360" i="4"/>
  <c r="AG25" i="3" s="1"/>
  <c r="F360" i="4"/>
  <c r="AE25" i="3" s="1"/>
  <c r="D360" i="4"/>
  <c r="AC25" i="3" s="1"/>
  <c r="D359" i="4"/>
  <c r="F359" i="4"/>
  <c r="H359" i="4"/>
  <c r="H358" i="4"/>
  <c r="F358" i="4"/>
  <c r="D358" i="4"/>
  <c r="H314" i="4"/>
  <c r="F314" i="4"/>
  <c r="D314" i="4"/>
  <c r="D315" i="4"/>
  <c r="F315" i="4"/>
  <c r="H315" i="4"/>
  <c r="D316" i="4"/>
  <c r="F316" i="4"/>
  <c r="H316" i="4"/>
  <c r="S316" i="4" s="1"/>
  <c r="D317" i="4"/>
  <c r="D318" i="4"/>
  <c r="D319" i="4"/>
  <c r="F317" i="4"/>
  <c r="F318" i="4"/>
  <c r="Q318" i="4" s="1"/>
  <c r="F319" i="4"/>
  <c r="Q319" i="4" s="1"/>
  <c r="H317" i="4"/>
  <c r="H318" i="4"/>
  <c r="H319" i="4"/>
  <c r="D301" i="4"/>
  <c r="AR21" i="3" s="1"/>
  <c r="F301" i="4"/>
  <c r="AT21" i="3" s="1"/>
  <c r="H301" i="4"/>
  <c r="AV21" i="3" s="1"/>
  <c r="H300" i="4"/>
  <c r="AQ21" i="3" s="1"/>
  <c r="F300" i="4"/>
  <c r="AO21" i="3" s="1"/>
  <c r="D300" i="4"/>
  <c r="AM21" i="3" s="1"/>
  <c r="H299" i="4"/>
  <c r="AL21" i="3" s="1"/>
  <c r="F299" i="4"/>
  <c r="AJ21" i="3" s="1"/>
  <c r="D299" i="4"/>
  <c r="AH21" i="3" s="1"/>
  <c r="H298" i="4"/>
  <c r="AG21" i="3" s="1"/>
  <c r="F298" i="4"/>
  <c r="AE21" i="3" s="1"/>
  <c r="D298" i="4"/>
  <c r="AC21" i="3" s="1"/>
  <c r="D297" i="4"/>
  <c r="F297" i="4"/>
  <c r="H297" i="4"/>
  <c r="H296" i="4"/>
  <c r="F296" i="4"/>
  <c r="D296" i="4"/>
  <c r="H262" i="4"/>
  <c r="AG19" i="3" s="1"/>
  <c r="F262" i="4"/>
  <c r="AE19" i="3" s="1"/>
  <c r="D262" i="4"/>
  <c r="AC19" i="3" s="1"/>
  <c r="D261" i="4"/>
  <c r="F261" i="4"/>
  <c r="E261" i="4" s="1"/>
  <c r="H261" i="4"/>
  <c r="H260" i="4"/>
  <c r="F260" i="4"/>
  <c r="D260" i="4"/>
  <c r="D263" i="4"/>
  <c r="AH19" i="3" s="1"/>
  <c r="D264" i="4"/>
  <c r="AM19" i="3" s="1"/>
  <c r="D265" i="4"/>
  <c r="AR19" i="3" s="1"/>
  <c r="F263" i="4"/>
  <c r="AJ19" i="3" s="1"/>
  <c r="F264" i="4"/>
  <c r="AO19" i="3" s="1"/>
  <c r="F265" i="4"/>
  <c r="AT19" i="3" s="1"/>
  <c r="H263" i="4"/>
  <c r="AL19" i="3" s="1"/>
  <c r="H264" i="4"/>
  <c r="AQ19" i="3" s="1"/>
  <c r="H265" i="4"/>
  <c r="AV19" i="3" s="1"/>
  <c r="D245" i="4"/>
  <c r="AH18" i="3" s="1"/>
  <c r="D246" i="4"/>
  <c r="AM18" i="3" s="1"/>
  <c r="D247" i="4"/>
  <c r="AR18" i="3" s="1"/>
  <c r="F245" i="4"/>
  <c r="AJ18" i="3" s="1"/>
  <c r="F246" i="4"/>
  <c r="AO18" i="3" s="1"/>
  <c r="F247" i="4"/>
  <c r="AT18" i="3" s="1"/>
  <c r="H247" i="4"/>
  <c r="AV18" i="3" s="1"/>
  <c r="H246" i="4"/>
  <c r="AQ18" i="3" s="1"/>
  <c r="H245" i="4"/>
  <c r="AL18" i="3" s="1"/>
  <c r="D244" i="4"/>
  <c r="AC18" i="3" s="1"/>
  <c r="D243" i="4"/>
  <c r="F244" i="4"/>
  <c r="AE18" i="3" s="1"/>
  <c r="F243" i="4"/>
  <c r="E243" i="4" s="1"/>
  <c r="F242" i="4"/>
  <c r="H244" i="4"/>
  <c r="AG18" i="3" s="1"/>
  <c r="H243" i="4"/>
  <c r="H242" i="4"/>
  <c r="D242" i="4"/>
  <c r="D227" i="4"/>
  <c r="AH17" i="3" s="1"/>
  <c r="D228" i="4"/>
  <c r="AM17" i="3" s="1"/>
  <c r="D229" i="4"/>
  <c r="AR17" i="3" s="1"/>
  <c r="F227" i="4"/>
  <c r="AJ17" i="3" s="1"/>
  <c r="F228" i="4"/>
  <c r="AO17" i="3" s="1"/>
  <c r="F229" i="4"/>
  <c r="AT17" i="3" s="1"/>
  <c r="H226" i="4"/>
  <c r="AG17" i="3" s="1"/>
  <c r="H227" i="4"/>
  <c r="AL17" i="3" s="1"/>
  <c r="H228" i="4"/>
  <c r="AQ17" i="3" s="1"/>
  <c r="H229" i="4"/>
  <c r="AV17" i="3" s="1"/>
  <c r="F226" i="4"/>
  <c r="AE17" i="3" s="1"/>
  <c r="D226" i="4"/>
  <c r="AC17" i="3" s="1"/>
  <c r="D225" i="4"/>
  <c r="F225" i="4"/>
  <c r="H225" i="4"/>
  <c r="H224" i="4"/>
  <c r="F224" i="4"/>
  <c r="D224" i="4"/>
  <c r="H192" i="4"/>
  <c r="AQ16" i="3" s="1"/>
  <c r="F192" i="4"/>
  <c r="AO16" i="3" s="1"/>
  <c r="D192" i="4"/>
  <c r="AM16" i="3" s="1"/>
  <c r="D193" i="4"/>
  <c r="AR16" i="3" s="1"/>
  <c r="F193" i="4"/>
  <c r="AT16" i="3" s="1"/>
  <c r="H193" i="4"/>
  <c r="AV16" i="3" s="1"/>
  <c r="H191" i="4"/>
  <c r="AL16" i="3" s="1"/>
  <c r="F191" i="4"/>
  <c r="AJ16" i="3" s="1"/>
  <c r="D191" i="4"/>
  <c r="AH16" i="3" s="1"/>
  <c r="D190" i="4"/>
  <c r="AC16" i="3" s="1"/>
  <c r="F190" i="4"/>
  <c r="AE16" i="3" s="1"/>
  <c r="H190" i="4"/>
  <c r="AG16" i="3" s="1"/>
  <c r="D189" i="4"/>
  <c r="F189" i="4"/>
  <c r="E189" i="4" s="1"/>
  <c r="H189" i="4"/>
  <c r="H188" i="4"/>
  <c r="F188" i="4"/>
  <c r="E188" i="4" s="1"/>
  <c r="D188" i="4"/>
  <c r="D175" i="4"/>
  <c r="AR15" i="3" s="1"/>
  <c r="D174" i="4"/>
  <c r="AM15" i="3" s="1"/>
  <c r="F174" i="4"/>
  <c r="AO15" i="3" s="1"/>
  <c r="F175" i="4"/>
  <c r="AT15" i="3" s="1"/>
  <c r="H174" i="4"/>
  <c r="AQ15" i="3" s="1"/>
  <c r="H175" i="4"/>
  <c r="AV15" i="3" s="1"/>
  <c r="D173" i="4"/>
  <c r="AH15" i="3" s="1"/>
  <c r="F173" i="4"/>
  <c r="AJ15" i="3" s="1"/>
  <c r="H173" i="4"/>
  <c r="AL15" i="3" s="1"/>
  <c r="H172" i="4"/>
  <c r="AG15" i="3" s="1"/>
  <c r="F172" i="4"/>
  <c r="AE15" i="3" s="1"/>
  <c r="D172" i="4"/>
  <c r="AC15" i="3" s="1"/>
  <c r="H171" i="4"/>
  <c r="F171" i="4"/>
  <c r="D171" i="4"/>
  <c r="H170" i="4"/>
  <c r="F170" i="4"/>
  <c r="D170" i="4"/>
  <c r="H136" i="4"/>
  <c r="AG10" i="3" s="1"/>
  <c r="F136" i="4"/>
  <c r="AE10" i="3" s="1"/>
  <c r="D136" i="4"/>
  <c r="AC10" i="3" s="1"/>
  <c r="D135" i="4"/>
  <c r="F135" i="4"/>
  <c r="H135" i="4"/>
  <c r="H134" i="4"/>
  <c r="F134" i="4"/>
  <c r="D134" i="4"/>
  <c r="D121" i="4"/>
  <c r="AR9" i="3" s="1"/>
  <c r="F121" i="4"/>
  <c r="AT9" i="3" s="1"/>
  <c r="H121" i="4"/>
  <c r="AV9" i="3" s="1"/>
  <c r="H118" i="4"/>
  <c r="AG9" i="3" s="1"/>
  <c r="F118" i="4"/>
  <c r="AE9" i="3" s="1"/>
  <c r="D118" i="4"/>
  <c r="AC9" i="3" s="1"/>
  <c r="D117" i="4"/>
  <c r="F117" i="4"/>
  <c r="H117" i="4"/>
  <c r="H116" i="4"/>
  <c r="F116" i="4"/>
  <c r="D116" i="4"/>
  <c r="F102" i="4"/>
  <c r="F101" i="4"/>
  <c r="AJ8" i="3" s="1"/>
  <c r="D101" i="4"/>
  <c r="AH8" i="3" s="1"/>
  <c r="D102" i="4"/>
  <c r="AM8" i="3" s="1"/>
  <c r="D103" i="4"/>
  <c r="AR8" i="3" s="1"/>
  <c r="F103" i="4"/>
  <c r="AT8" i="3" s="1"/>
  <c r="H101" i="4"/>
  <c r="AL8" i="3" s="1"/>
  <c r="H102" i="4"/>
  <c r="AQ8" i="3" s="1"/>
  <c r="H103" i="4"/>
  <c r="AV8" i="3" s="1"/>
  <c r="H99" i="4"/>
  <c r="H100" i="4"/>
  <c r="AG8" i="3" s="1"/>
  <c r="F100" i="4"/>
  <c r="AE8" i="3" s="1"/>
  <c r="F99" i="4"/>
  <c r="D100" i="4"/>
  <c r="AC8" i="3" s="1"/>
  <c r="D99" i="4"/>
  <c r="H98" i="4"/>
  <c r="F98" i="4"/>
  <c r="D98" i="4"/>
  <c r="D85" i="4"/>
  <c r="AR7" i="3" s="1"/>
  <c r="F85" i="4"/>
  <c r="AT7" i="3" s="1"/>
  <c r="H85" i="4"/>
  <c r="AV7" i="3" s="1"/>
  <c r="D84" i="4"/>
  <c r="AM7" i="3" s="1"/>
  <c r="F84" i="4"/>
  <c r="AO7" i="3" s="1"/>
  <c r="H84" i="4"/>
  <c r="AQ7" i="3" s="1"/>
  <c r="H83" i="4"/>
  <c r="AL7" i="3" s="1"/>
  <c r="F83" i="4"/>
  <c r="D83" i="4"/>
  <c r="AH7" i="3" s="1"/>
  <c r="D82" i="4"/>
  <c r="AC7" i="3" s="1"/>
  <c r="F82" i="4"/>
  <c r="H82" i="4"/>
  <c r="AG7" i="3" s="1"/>
  <c r="H81" i="4"/>
  <c r="F81" i="4"/>
  <c r="D81" i="4"/>
  <c r="D80" i="4"/>
  <c r="F80" i="4"/>
  <c r="H80" i="4"/>
  <c r="H49" i="4"/>
  <c r="AV6" i="3" s="1"/>
  <c r="F49" i="4"/>
  <c r="AT6" i="3" s="1"/>
  <c r="D49" i="4"/>
  <c r="AR6" i="3" s="1"/>
  <c r="H48" i="4"/>
  <c r="AQ6" i="3" s="1"/>
  <c r="F48" i="4"/>
  <c r="AO6" i="3" s="1"/>
  <c r="D48" i="4"/>
  <c r="AM6" i="3" s="1"/>
  <c r="H47" i="4"/>
  <c r="AL6" i="3" s="1"/>
  <c r="F47" i="4"/>
  <c r="AJ6" i="3" s="1"/>
  <c r="D47" i="4"/>
  <c r="AH6" i="3" s="1"/>
  <c r="H46" i="4"/>
  <c r="AG6" i="3" s="1"/>
  <c r="F46" i="4"/>
  <c r="AE6" i="3" s="1"/>
  <c r="D46" i="4"/>
  <c r="AC6" i="3" s="1"/>
  <c r="H45" i="4"/>
  <c r="F45" i="4"/>
  <c r="D45" i="4"/>
  <c r="H44" i="4"/>
  <c r="F44" i="4"/>
  <c r="D44" i="4"/>
  <c r="H27" i="4"/>
  <c r="F27" i="4"/>
  <c r="D27" i="4"/>
  <c r="H26" i="4"/>
  <c r="F26" i="4"/>
  <c r="D26" i="4"/>
  <c r="H31" i="4"/>
  <c r="AV5" i="3" s="1"/>
  <c r="F31" i="4"/>
  <c r="AT5" i="3" s="1"/>
  <c r="D31" i="4"/>
  <c r="AR5" i="3" s="1"/>
  <c r="H30" i="4"/>
  <c r="AQ5" i="3" s="1"/>
  <c r="F30" i="4"/>
  <c r="AO5" i="3" s="1"/>
  <c r="D30" i="4"/>
  <c r="AM5" i="3" s="1"/>
  <c r="H29" i="4"/>
  <c r="AL5" i="3" s="1"/>
  <c r="F29" i="4"/>
  <c r="AJ5" i="3" s="1"/>
  <c r="D29" i="4"/>
  <c r="AH5" i="3" s="1"/>
  <c r="H28" i="4"/>
  <c r="AG5" i="3" s="1"/>
  <c r="F28" i="4"/>
  <c r="AE5" i="3" s="1"/>
  <c r="D28" i="4"/>
  <c r="AC5" i="3" s="1"/>
  <c r="H13" i="4"/>
  <c r="AV4" i="3" s="1"/>
  <c r="F13" i="4"/>
  <c r="AT4" i="3" s="1"/>
  <c r="D13" i="4"/>
  <c r="AR4" i="3" s="1"/>
  <c r="H12" i="4"/>
  <c r="AQ4" i="3" s="1"/>
  <c r="H11" i="4"/>
  <c r="AL4" i="3" s="1"/>
  <c r="H10" i="4"/>
  <c r="AG4" i="3" s="1"/>
  <c r="H9" i="4"/>
  <c r="F12" i="4"/>
  <c r="AO4" i="3" s="1"/>
  <c r="D12" i="4"/>
  <c r="AM4" i="3" s="1"/>
  <c r="F11" i="4"/>
  <c r="AJ4" i="3" s="1"/>
  <c r="D11" i="4"/>
  <c r="AH4" i="3" s="1"/>
  <c r="F10" i="4"/>
  <c r="AE4" i="3" s="1"/>
  <c r="D10" i="4"/>
  <c r="AC4" i="3" s="1"/>
  <c r="F9" i="4"/>
  <c r="D9" i="4"/>
  <c r="H8" i="4"/>
  <c r="F8" i="4"/>
  <c r="D8" i="4"/>
  <c r="C1920" i="4"/>
  <c r="C1921" i="4" s="1"/>
  <c r="S959" i="4" l="1"/>
  <c r="N1625" i="4"/>
  <c r="D37" i="4"/>
  <c r="BV9" i="2" s="1"/>
  <c r="D34" i="4"/>
  <c r="D35" i="4"/>
  <c r="D33" i="4"/>
  <c r="D36" i="4"/>
  <c r="Q904" i="4"/>
  <c r="Q1048" i="4"/>
  <c r="S852" i="4"/>
  <c r="R852" i="4" s="1"/>
  <c r="Q869" i="4"/>
  <c r="S873" i="4"/>
  <c r="S904" i="4"/>
  <c r="R904" i="4" s="1"/>
  <c r="D424" i="4"/>
  <c r="D422" i="4"/>
  <c r="D425" i="4"/>
  <c r="D423" i="4"/>
  <c r="D421" i="4"/>
  <c r="D426" i="4"/>
  <c r="Q873" i="4"/>
  <c r="Q887" i="4"/>
  <c r="Q945" i="4"/>
  <c r="S994" i="4"/>
  <c r="AE838" i="4"/>
  <c r="AF838" i="4" s="1"/>
  <c r="AH838" i="4" s="1"/>
  <c r="N1626" i="4"/>
  <c r="R994" i="4"/>
  <c r="Q797" i="4"/>
  <c r="R869" i="4"/>
  <c r="R941" i="4"/>
  <c r="G1538" i="4"/>
  <c r="S1608" i="4"/>
  <c r="R1608" i="4" s="1"/>
  <c r="Q1611" i="4"/>
  <c r="R833" i="4"/>
  <c r="E1138" i="4"/>
  <c r="O1664" i="4"/>
  <c r="G1743" i="4"/>
  <c r="Q796" i="4"/>
  <c r="AR20" i="3"/>
  <c r="D284" i="4"/>
  <c r="S1610" i="4"/>
  <c r="AR45" i="3"/>
  <c r="G725" i="4"/>
  <c r="Q959" i="4"/>
  <c r="R959" i="4" s="1"/>
  <c r="Q1066" i="4"/>
  <c r="S1066" i="4"/>
  <c r="G189" i="4"/>
  <c r="E725" i="4"/>
  <c r="G851" i="4"/>
  <c r="AG838" i="4"/>
  <c r="R1031" i="4"/>
  <c r="Q923" i="4"/>
  <c r="R923" i="4" s="1"/>
  <c r="S958" i="4"/>
  <c r="AH57" i="3"/>
  <c r="Q871" i="4"/>
  <c r="AJ58" i="3"/>
  <c r="S889" i="4"/>
  <c r="AE59" i="3"/>
  <c r="S906" i="4"/>
  <c r="AJ60" i="3"/>
  <c r="S922" i="4"/>
  <c r="R922" i="4" s="1"/>
  <c r="AH61" i="3"/>
  <c r="Q943" i="4"/>
  <c r="S995" i="4"/>
  <c r="Q1013" i="4"/>
  <c r="R1013" i="4" s="1"/>
  <c r="Q1067" i="4"/>
  <c r="R1067" i="4" s="1"/>
  <c r="S1665" i="4"/>
  <c r="AO60" i="3"/>
  <c r="S1611" i="4"/>
  <c r="R1611" i="4" s="1"/>
  <c r="AE840" i="4"/>
  <c r="AG840" i="4" s="1"/>
  <c r="S945" i="4"/>
  <c r="AE833" i="4"/>
  <c r="AG833" i="4" s="1"/>
  <c r="AJ59" i="3"/>
  <c r="AO62" i="3"/>
  <c r="S1609" i="4"/>
  <c r="R1609" i="4" s="1"/>
  <c r="AH59" i="3"/>
  <c r="AM60" i="3"/>
  <c r="AM61" i="3"/>
  <c r="Q944" i="4"/>
  <c r="AG836" i="4"/>
  <c r="Q1607" i="4"/>
  <c r="S853" i="4"/>
  <c r="AM58" i="3"/>
  <c r="Q890" i="4"/>
  <c r="S905" i="4"/>
  <c r="AM59" i="3"/>
  <c r="AH60" i="3"/>
  <c r="Q940" i="4"/>
  <c r="AO61" i="3"/>
  <c r="S944" i="4"/>
  <c r="S1049" i="4"/>
  <c r="R1049" i="4" s="1"/>
  <c r="AG835" i="4"/>
  <c r="S1607" i="4"/>
  <c r="R1607" i="4" s="1"/>
  <c r="Q1610" i="4"/>
  <c r="AC58" i="3"/>
  <c r="Q888" i="4"/>
  <c r="AE62" i="3"/>
  <c r="S960" i="4"/>
  <c r="E1606" i="4"/>
  <c r="S1606" i="4"/>
  <c r="R1606" i="4" s="1"/>
  <c r="AC57" i="3"/>
  <c r="Q870" i="4"/>
  <c r="AE57" i="3"/>
  <c r="S870" i="4"/>
  <c r="AM62" i="3"/>
  <c r="AM57" i="3"/>
  <c r="Q872" i="4"/>
  <c r="S940" i="4"/>
  <c r="R940" i="4" s="1"/>
  <c r="S1012" i="4"/>
  <c r="AE58" i="3"/>
  <c r="S888" i="4"/>
  <c r="AC62" i="3"/>
  <c r="Q960" i="4"/>
  <c r="AC61" i="3"/>
  <c r="Q942" i="4"/>
  <c r="Q958" i="4"/>
  <c r="S887" i="4"/>
  <c r="R887" i="4" s="1"/>
  <c r="AE61" i="3"/>
  <c r="S942" i="4"/>
  <c r="AO58" i="3"/>
  <c r="S890" i="4"/>
  <c r="Q905" i="4"/>
  <c r="AO59" i="3"/>
  <c r="AC60" i="3"/>
  <c r="Q924" i="4"/>
  <c r="AJ62" i="3"/>
  <c r="S871" i="4"/>
  <c r="AH58" i="3"/>
  <c r="Q889" i="4"/>
  <c r="S886" i="4"/>
  <c r="R886" i="4" s="1"/>
  <c r="AC59" i="3"/>
  <c r="Q906" i="4"/>
  <c r="AE60" i="3"/>
  <c r="S924" i="4"/>
  <c r="AJ61" i="3"/>
  <c r="S943" i="4"/>
  <c r="AH62" i="3"/>
  <c r="S998" i="4"/>
  <c r="AE839" i="4"/>
  <c r="AF839" i="4" s="1"/>
  <c r="Q1608" i="4"/>
  <c r="S1662" i="4"/>
  <c r="AE55" i="3"/>
  <c r="S834" i="4"/>
  <c r="AT62" i="3"/>
  <c r="AE63" i="3"/>
  <c r="S978" i="4"/>
  <c r="AT63" i="3"/>
  <c r="S981" i="4"/>
  <c r="AF835" i="4"/>
  <c r="AH835" i="4" s="1"/>
  <c r="AM64" i="3"/>
  <c r="Q998" i="4"/>
  <c r="AH66" i="3"/>
  <c r="Q1033" i="4"/>
  <c r="AE67" i="3"/>
  <c r="S1050" i="4"/>
  <c r="AA840" i="4"/>
  <c r="AC840" i="4" s="1"/>
  <c r="AC55" i="3"/>
  <c r="Q834" i="4"/>
  <c r="AO55" i="3"/>
  <c r="S836" i="4"/>
  <c r="AC56" i="3"/>
  <c r="AO56" i="3"/>
  <c r="AT59" i="3"/>
  <c r="AR62" i="3"/>
  <c r="AC63" i="3"/>
  <c r="Q978" i="4"/>
  <c r="AM63" i="3"/>
  <c r="Q980" i="4"/>
  <c r="Q995" i="4"/>
  <c r="AM65" i="3"/>
  <c r="AJ66" i="3"/>
  <c r="S1033" i="4"/>
  <c r="S1053" i="4"/>
  <c r="AC68" i="3"/>
  <c r="Q1068" i="4"/>
  <c r="AO68" i="3"/>
  <c r="S1070" i="4"/>
  <c r="AH55" i="3"/>
  <c r="Q835" i="4"/>
  <c r="AM55" i="3"/>
  <c r="Q836" i="4"/>
  <c r="AE56" i="3"/>
  <c r="AT56" i="3"/>
  <c r="AE829" i="4"/>
  <c r="AF829" i="4" s="1"/>
  <c r="AR59" i="3"/>
  <c r="AT60" i="3"/>
  <c r="AT61" i="3"/>
  <c r="R976" i="4"/>
  <c r="AH63" i="3"/>
  <c r="Q979" i="4"/>
  <c r="AR63" i="3"/>
  <c r="Q981" i="4"/>
  <c r="AA835" i="4"/>
  <c r="AB835" i="4" s="1"/>
  <c r="AJ64" i="3"/>
  <c r="S997" i="4"/>
  <c r="AO65" i="3"/>
  <c r="S1048" i="4"/>
  <c r="R1048" i="4" s="1"/>
  <c r="AR67" i="3"/>
  <c r="Q1053" i="4"/>
  <c r="AA838" i="4"/>
  <c r="AC838" i="4" s="1"/>
  <c r="AE68" i="3"/>
  <c r="S1068" i="4"/>
  <c r="AT68" i="3"/>
  <c r="S1071" i="4"/>
  <c r="AF841" i="4"/>
  <c r="AR61" i="3"/>
  <c r="AA833" i="4"/>
  <c r="AC833" i="4" s="1"/>
  <c r="E1557" i="4"/>
  <c r="AG841" i="4"/>
  <c r="AR56" i="3"/>
  <c r="AR58" i="3"/>
  <c r="AA830" i="4"/>
  <c r="AB830" i="4" s="1"/>
  <c r="AR55" i="3"/>
  <c r="AA827" i="4"/>
  <c r="Q837" i="4"/>
  <c r="AJ56" i="3"/>
  <c r="S977" i="4"/>
  <c r="AR64" i="3"/>
  <c r="AA836" i="4"/>
  <c r="AB836" i="4" s="1"/>
  <c r="Q999" i="4"/>
  <c r="AE64" i="3"/>
  <c r="S996" i="4"/>
  <c r="Q1012" i="4"/>
  <c r="AT65" i="3"/>
  <c r="AM67" i="3"/>
  <c r="Q1052" i="4"/>
  <c r="AJ68" i="3"/>
  <c r="S1069" i="4"/>
  <c r="AR57" i="3"/>
  <c r="AA829" i="4"/>
  <c r="AB829" i="4" s="1"/>
  <c r="AH64" i="3"/>
  <c r="Q997" i="4"/>
  <c r="E1521" i="4"/>
  <c r="AT64" i="3"/>
  <c r="AF836" i="4"/>
  <c r="AH836" i="4" s="1"/>
  <c r="S999" i="4"/>
  <c r="AE65" i="3"/>
  <c r="S1014" i="4"/>
  <c r="G797" i="4"/>
  <c r="G815" i="4"/>
  <c r="AT55" i="3"/>
  <c r="AE827" i="4"/>
  <c r="AF827" i="4" s="1"/>
  <c r="S837" i="4"/>
  <c r="AH56" i="3"/>
  <c r="AC64" i="3"/>
  <c r="Q996" i="4"/>
  <c r="AH65" i="3"/>
  <c r="AR65" i="3"/>
  <c r="S1032" i="4"/>
  <c r="R1032" i="4" s="1"/>
  <c r="AO67" i="3"/>
  <c r="S1052" i="4"/>
  <c r="AH68" i="3"/>
  <c r="Q1069" i="4"/>
  <c r="AR66" i="3"/>
  <c r="AA839" i="4"/>
  <c r="AB839" i="4" s="1"/>
  <c r="Q1035" i="4"/>
  <c r="AJ55" i="3"/>
  <c r="S835" i="4"/>
  <c r="AM56" i="3"/>
  <c r="AT58" i="3"/>
  <c r="AE830" i="4"/>
  <c r="AG830" i="4" s="1"/>
  <c r="AR60" i="3"/>
  <c r="AJ63" i="3"/>
  <c r="S979" i="4"/>
  <c r="AC65" i="3"/>
  <c r="Q1014" i="4"/>
  <c r="AM66" i="3"/>
  <c r="Q1034" i="4"/>
  <c r="AJ67" i="3"/>
  <c r="S1051" i="4"/>
  <c r="Q977" i="4"/>
  <c r="AH67" i="3"/>
  <c r="Q1051" i="4"/>
  <c r="Q1071" i="4"/>
  <c r="AA841" i="4"/>
  <c r="AC841" i="4" s="1"/>
  <c r="R851" i="4"/>
  <c r="AO63" i="3"/>
  <c r="S980" i="4"/>
  <c r="AJ65" i="3"/>
  <c r="AC66" i="3"/>
  <c r="Q1032" i="4"/>
  <c r="AT66" i="3"/>
  <c r="S1035" i="4"/>
  <c r="AC67" i="3"/>
  <c r="Q1050" i="4"/>
  <c r="AC836" i="4"/>
  <c r="S1661" i="4"/>
  <c r="AC22" i="3"/>
  <c r="O316" i="4"/>
  <c r="E1663" i="4"/>
  <c r="Q317" i="4"/>
  <c r="E315" i="4"/>
  <c r="Q315" i="4"/>
  <c r="O1663" i="4"/>
  <c r="AR22" i="3"/>
  <c r="O319" i="4"/>
  <c r="P319" i="4" s="1"/>
  <c r="E1661" i="4"/>
  <c r="Q1661" i="4"/>
  <c r="P1661" i="4" s="1"/>
  <c r="AV22" i="3"/>
  <c r="S319" i="4"/>
  <c r="R319" i="4" s="1"/>
  <c r="AH22" i="3"/>
  <c r="O317" i="4"/>
  <c r="E314" i="4"/>
  <c r="Q314" i="4"/>
  <c r="O1662" i="4"/>
  <c r="S1664" i="4"/>
  <c r="E1664" i="4"/>
  <c r="AQ22" i="3"/>
  <c r="S318" i="4"/>
  <c r="R318" i="4" s="1"/>
  <c r="E1662" i="4"/>
  <c r="Q1662" i="4"/>
  <c r="P1662" i="4" s="1"/>
  <c r="O1665" i="4"/>
  <c r="AM22" i="3"/>
  <c r="O318" i="4"/>
  <c r="P318" i="4" s="1"/>
  <c r="AL22" i="3"/>
  <c r="S317" i="4"/>
  <c r="Q316" i="4"/>
  <c r="E1665" i="4"/>
  <c r="E8" i="4"/>
  <c r="G170" i="4"/>
  <c r="E652" i="4"/>
  <c r="AH42" i="3"/>
  <c r="AR42" i="3"/>
  <c r="E869" i="4"/>
  <c r="E1539" i="4"/>
  <c r="E345" i="4"/>
  <c r="AM39" i="3"/>
  <c r="AM32" i="3"/>
  <c r="AR39" i="3"/>
  <c r="AH40" i="3"/>
  <c r="AM47" i="3"/>
  <c r="AR32" i="3"/>
  <c r="AM37" i="3"/>
  <c r="AR40" i="3"/>
  <c r="G1537" i="4"/>
  <c r="G1628" i="4"/>
  <c r="G1644" i="4"/>
  <c r="AH37" i="3"/>
  <c r="AM40" i="3"/>
  <c r="AM41" i="3"/>
  <c r="AH39" i="3"/>
  <c r="AH32" i="3"/>
  <c r="AM42" i="3"/>
  <c r="AR41" i="3"/>
  <c r="E653" i="4"/>
  <c r="G688" i="4"/>
  <c r="G995" i="4"/>
  <c r="G706" i="4"/>
  <c r="G1102" i="4"/>
  <c r="E359" i="4"/>
  <c r="E433" i="4"/>
  <c r="E994" i="4"/>
  <c r="E1519" i="4"/>
  <c r="G1049" i="4"/>
  <c r="G1302" i="4"/>
  <c r="G1708" i="4"/>
  <c r="E469" i="4"/>
  <c r="G869" i="4"/>
  <c r="E82" i="4"/>
  <c r="AD7" i="3" s="1"/>
  <c r="AE7" i="3"/>
  <c r="E654" i="4"/>
  <c r="AD43" i="3" s="1"/>
  <c r="AE43" i="3"/>
  <c r="E690" i="4"/>
  <c r="AD45" i="3" s="1"/>
  <c r="AE45" i="3"/>
  <c r="G501" i="4"/>
  <c r="E523" i="4"/>
  <c r="AS35" i="3" s="1"/>
  <c r="AR35" i="3"/>
  <c r="E45" i="4"/>
  <c r="E319" i="4"/>
  <c r="AS22" i="3" s="1"/>
  <c r="AT22" i="3"/>
  <c r="E554" i="4"/>
  <c r="AS37" i="3" s="1"/>
  <c r="AR37" i="3"/>
  <c r="E102" i="4"/>
  <c r="AN8" i="3" s="1"/>
  <c r="AO8" i="3"/>
  <c r="G135" i="4"/>
  <c r="E318" i="4"/>
  <c r="AN22" i="3" s="1"/>
  <c r="AO22" i="3"/>
  <c r="E470" i="4"/>
  <c r="G619" i="4"/>
  <c r="AK41" i="3" s="1"/>
  <c r="AJ41" i="3"/>
  <c r="E639" i="4"/>
  <c r="AS42" i="3" s="1"/>
  <c r="AT42" i="3"/>
  <c r="G674" i="4"/>
  <c r="AP44" i="3" s="1"/>
  <c r="AQ44" i="3"/>
  <c r="G691" i="4"/>
  <c r="AK45" i="3" s="1"/>
  <c r="AJ45" i="3"/>
  <c r="G868" i="4"/>
  <c r="E871" i="4"/>
  <c r="AI57" i="3" s="1"/>
  <c r="AJ57" i="3"/>
  <c r="G978" i="4"/>
  <c r="AF63" i="3" s="1"/>
  <c r="AG63" i="3"/>
  <c r="E998" i="4"/>
  <c r="AN64" i="3" s="1"/>
  <c r="AO64" i="3"/>
  <c r="E1032" i="4"/>
  <c r="AD66" i="3" s="1"/>
  <c r="AE66" i="3"/>
  <c r="G1233" i="4"/>
  <c r="AU78" i="3" s="1"/>
  <c r="AV78" i="3"/>
  <c r="G1499" i="4"/>
  <c r="E541" i="4"/>
  <c r="AS36" i="3" s="1"/>
  <c r="AT36" i="3"/>
  <c r="G999" i="4"/>
  <c r="AU64" i="3" s="1"/>
  <c r="AV64" i="3"/>
  <c r="G171" i="4"/>
  <c r="E504" i="4"/>
  <c r="AN34" i="3" s="1"/>
  <c r="AO34" i="3"/>
  <c r="E316" i="4"/>
  <c r="AD22" i="3" s="1"/>
  <c r="AE22" i="3"/>
  <c r="E656" i="4"/>
  <c r="AN43" i="3" s="1"/>
  <c r="AO43" i="3"/>
  <c r="G551" i="4"/>
  <c r="AF37" i="3" s="1"/>
  <c r="AE37" i="3"/>
  <c r="E584" i="4"/>
  <c r="AN39" i="3" s="1"/>
  <c r="AO39" i="3"/>
  <c r="E691" i="4"/>
  <c r="AI45" i="3" s="1"/>
  <c r="AH45" i="3"/>
  <c r="G711" i="4"/>
  <c r="AU46" i="3" s="1"/>
  <c r="AV46" i="3"/>
  <c r="E317" i="4"/>
  <c r="AI22" i="3" s="1"/>
  <c r="AJ22" i="3"/>
  <c r="G585" i="4"/>
  <c r="AU39" i="3" s="1"/>
  <c r="AV39" i="3"/>
  <c r="G871" i="4"/>
  <c r="AK57" i="3" s="1"/>
  <c r="AL57" i="3"/>
  <c r="G1194" i="4"/>
  <c r="AF76" i="3" s="1"/>
  <c r="AG76" i="3"/>
  <c r="E347" i="4"/>
  <c r="AD24" i="3" s="1"/>
  <c r="AE24" i="3"/>
  <c r="G316" i="4"/>
  <c r="AF22" i="3" s="1"/>
  <c r="AG22" i="3"/>
  <c r="E1161" i="4"/>
  <c r="AS74" i="3" s="1"/>
  <c r="AT74" i="3"/>
  <c r="G618" i="4"/>
  <c r="AF41" i="3" s="1"/>
  <c r="AG41" i="3"/>
  <c r="E872" i="4"/>
  <c r="AN57" i="3" s="1"/>
  <c r="AO57" i="3"/>
  <c r="G1034" i="4"/>
  <c r="AP66" i="3" s="1"/>
  <c r="AO66" i="3"/>
  <c r="G1069" i="4"/>
  <c r="AK68" i="3" s="1"/>
  <c r="AL68" i="3"/>
  <c r="E489" i="4"/>
  <c r="AD33" i="3" s="1"/>
  <c r="AE33" i="3"/>
  <c r="E83" i="4"/>
  <c r="AI7" i="3" s="1"/>
  <c r="AJ7" i="3"/>
  <c r="G602" i="4"/>
  <c r="AP40" i="3" s="1"/>
  <c r="AQ40" i="3"/>
  <c r="E619" i="4"/>
  <c r="AI41" i="3" s="1"/>
  <c r="AH41" i="3"/>
  <c r="G639" i="4"/>
  <c r="AU42" i="3" s="1"/>
  <c r="AV42" i="3"/>
  <c r="G601" i="4"/>
  <c r="AK40" i="3" s="1"/>
  <c r="AL40" i="3"/>
  <c r="G657" i="4"/>
  <c r="AU43" i="3" s="1"/>
  <c r="AV43" i="3"/>
  <c r="E692" i="4"/>
  <c r="AN45" i="3" s="1"/>
  <c r="AM45" i="3"/>
  <c r="G873" i="4"/>
  <c r="AU57" i="3" s="1"/>
  <c r="AV57" i="3"/>
  <c r="E1159" i="4"/>
  <c r="AI74" i="3" s="1"/>
  <c r="AJ74" i="3"/>
  <c r="G1484" i="4"/>
  <c r="G1777" i="4"/>
  <c r="G346" i="4"/>
  <c r="E503" i="4"/>
  <c r="AI34" i="3" s="1"/>
  <c r="AJ34" i="3"/>
  <c r="G710" i="4"/>
  <c r="AP46" i="3" s="1"/>
  <c r="AQ46" i="3"/>
  <c r="G636" i="4"/>
  <c r="AF42" i="3" s="1"/>
  <c r="AE42" i="3"/>
  <c r="E502" i="4"/>
  <c r="AD34" i="3" s="1"/>
  <c r="AE34" i="3"/>
  <c r="AG80" i="3"/>
  <c r="E601" i="4"/>
  <c r="AI40" i="3" s="1"/>
  <c r="AJ40" i="3"/>
  <c r="E873" i="4"/>
  <c r="AS57" i="3" s="1"/>
  <c r="AT57" i="3"/>
  <c r="G923" i="4"/>
  <c r="E1053" i="4"/>
  <c r="AS67" i="3" s="1"/>
  <c r="AT67" i="3"/>
  <c r="G1197" i="4"/>
  <c r="AU76" i="3" s="1"/>
  <c r="AV76" i="3"/>
  <c r="E1269" i="4"/>
  <c r="G1428" i="4"/>
  <c r="G1646" i="4"/>
  <c r="G1704" i="4"/>
  <c r="G1780" i="4"/>
  <c r="G347" i="4"/>
  <c r="AF24" i="3" s="1"/>
  <c r="AG24" i="3"/>
  <c r="E260" i="4"/>
  <c r="G1231" i="4"/>
  <c r="AK78" i="3" s="1"/>
  <c r="E637" i="4"/>
  <c r="AI42" i="3" s="1"/>
  <c r="G887" i="4"/>
  <c r="G832" i="4"/>
  <c r="G1070" i="4"/>
  <c r="AP68" i="3" s="1"/>
  <c r="G1085" i="4"/>
  <c r="G1230" i="4"/>
  <c r="AF78" i="3" s="1"/>
  <c r="G1305" i="4"/>
  <c r="G358" i="4"/>
  <c r="E958" i="4"/>
  <c r="E1197" i="4"/>
  <c r="AS76" i="3" s="1"/>
  <c r="G637" i="4"/>
  <c r="AK42" i="3" s="1"/>
  <c r="E940" i="4"/>
  <c r="E961" i="4"/>
  <c r="AI62" i="3" s="1"/>
  <c r="G959" i="4"/>
  <c r="G980" i="4"/>
  <c r="AP63" i="3" s="1"/>
  <c r="G998" i="4"/>
  <c r="AP64" i="3" s="1"/>
  <c r="G1301" i="4"/>
  <c r="G1304" i="4"/>
  <c r="G1593" i="4"/>
  <c r="E1628" i="4"/>
  <c r="G1745" i="4"/>
  <c r="E1120" i="4"/>
  <c r="G1031" i="4"/>
  <c r="G319" i="4"/>
  <c r="AU22" i="3" s="1"/>
  <c r="E1483" i="4"/>
  <c r="E1194" i="4"/>
  <c r="AD76" i="3" s="1"/>
  <c r="E1268" i="4"/>
  <c r="G814" i="4"/>
  <c r="E962" i="4"/>
  <c r="AN62" i="3" s="1"/>
  <c r="E868" i="4"/>
  <c r="G1120" i="4"/>
  <c r="E1192" i="4"/>
  <c r="E854" i="4"/>
  <c r="AN56" i="3" s="1"/>
  <c r="E1484" i="4"/>
  <c r="G1192" i="4"/>
  <c r="G1426" i="4"/>
  <c r="G634" i="4"/>
  <c r="E724" i="4"/>
  <c r="G1160" i="4"/>
  <c r="AP74" i="3" s="1"/>
  <c r="G1409" i="4"/>
  <c r="E406" i="4"/>
  <c r="AN28" i="3" s="1"/>
  <c r="G81" i="4"/>
  <c r="E999" i="4"/>
  <c r="AS64" i="3" s="1"/>
  <c r="G996" i="4"/>
  <c r="AF64" i="3" s="1"/>
  <c r="G554" i="4"/>
  <c r="AU37" i="3" s="1"/>
  <c r="E706" i="4"/>
  <c r="E689" i="4"/>
  <c r="G1266" i="4"/>
  <c r="G552" i="4"/>
  <c r="AK37" i="3" s="1"/>
  <c r="G689" i="4"/>
  <c r="G709" i="4"/>
  <c r="AK46" i="3" s="1"/>
  <c r="E978" i="4"/>
  <c r="AD63" i="3" s="1"/>
  <c r="E995" i="4"/>
  <c r="G1392" i="4"/>
  <c r="E1430" i="4"/>
  <c r="E1467" i="4"/>
  <c r="G1723" i="4"/>
  <c r="G500" i="4"/>
  <c r="E521" i="4"/>
  <c r="AI35" i="3" s="1"/>
  <c r="E671" i="4"/>
  <c r="E552" i="4"/>
  <c r="AI37" i="3" s="1"/>
  <c r="G1158" i="4"/>
  <c r="AF74" i="3" s="1"/>
  <c r="E582" i="4"/>
  <c r="AD39" i="3" s="1"/>
  <c r="E852" i="4"/>
  <c r="AD56" i="3" s="1"/>
  <c r="E1158" i="4"/>
  <c r="AD74" i="3" s="1"/>
  <c r="E617" i="4"/>
  <c r="E709" i="4"/>
  <c r="AI46" i="3" s="1"/>
  <c r="G963" i="4"/>
  <c r="AU62" i="3" s="1"/>
  <c r="G469" i="4"/>
  <c r="E1302" i="4"/>
  <c r="G1229" i="4"/>
  <c r="G188" i="4"/>
  <c r="G852" i="4"/>
  <c r="AF56" i="3" s="1"/>
  <c r="E1193" i="4"/>
  <c r="G1464" i="4"/>
  <c r="G1553" i="4"/>
  <c r="G1722" i="4"/>
  <c r="G1758" i="4"/>
  <c r="G1778" i="4"/>
  <c r="E224" i="4"/>
  <c r="E549" i="4"/>
  <c r="G296" i="4"/>
  <c r="G549" i="4"/>
  <c r="G582" i="4"/>
  <c r="AF39" i="3" s="1"/>
  <c r="G599" i="4"/>
  <c r="G318" i="4"/>
  <c r="AP22" i="3" s="1"/>
  <c r="E451" i="4"/>
  <c r="E1066" i="4"/>
  <c r="G117" i="4"/>
  <c r="G317" i="4"/>
  <c r="AK22" i="3" s="1"/>
  <c r="E550" i="4"/>
  <c r="G553" i="4"/>
  <c r="AP37" i="3" s="1"/>
  <c r="G580" i="4"/>
  <c r="E583" i="4"/>
  <c r="AI39" i="3" s="1"/>
  <c r="G603" i="4"/>
  <c r="AU40" i="3" s="1"/>
  <c r="E598" i="4"/>
  <c r="E618" i="4"/>
  <c r="AD41" i="3" s="1"/>
  <c r="G620" i="4"/>
  <c r="AP41" i="3" s="1"/>
  <c r="E657" i="4"/>
  <c r="AS43" i="3" s="1"/>
  <c r="E670" i="4"/>
  <c r="G672" i="4"/>
  <c r="AF44" i="3" s="1"/>
  <c r="E674" i="4"/>
  <c r="AN44" i="3" s="1"/>
  <c r="G692" i="4"/>
  <c r="AP45" i="3" s="1"/>
  <c r="E710" i="4"/>
  <c r="AN46" i="3" s="1"/>
  <c r="E779" i="4"/>
  <c r="E815" i="4"/>
  <c r="G855" i="4"/>
  <c r="AU56" i="3" s="1"/>
  <c r="G962" i="4"/>
  <c r="AP62" i="3" s="1"/>
  <c r="E1012" i="4"/>
  <c r="G1035" i="4"/>
  <c r="AU66" i="3" s="1"/>
  <c r="G1066" i="4"/>
  <c r="E1228" i="4"/>
  <c r="E1231" i="4"/>
  <c r="AI78" i="3" s="1"/>
  <c r="G1267" i="4"/>
  <c r="G1429" i="4"/>
  <c r="E1538" i="4"/>
  <c r="E1592" i="4"/>
  <c r="G1629" i="4"/>
  <c r="G1645" i="4"/>
  <c r="G1661" i="4"/>
  <c r="G1709" i="4"/>
  <c r="G1726" i="4"/>
  <c r="G1744" i="4"/>
  <c r="E98" i="4"/>
  <c r="E118" i="4"/>
  <c r="AD9" i="3" s="1"/>
  <c r="G958" i="4"/>
  <c r="G1050" i="4"/>
  <c r="AF67" i="3" s="1"/>
  <c r="E1156" i="4"/>
  <c r="E1160" i="4"/>
  <c r="AN74" i="3" s="1"/>
  <c r="E1232" i="4"/>
  <c r="AN78" i="3" s="1"/>
  <c r="G1430" i="4"/>
  <c r="G1727" i="4"/>
  <c r="G48" i="4"/>
  <c r="AP6" i="3" s="1"/>
  <c r="E500" i="4"/>
  <c r="G979" i="4"/>
  <c r="AK63" i="3" s="1"/>
  <c r="G1390" i="4"/>
  <c r="E1537" i="4"/>
  <c r="E1556" i="4"/>
  <c r="E116" i="4"/>
  <c r="E296" i="4"/>
  <c r="G433" i="4"/>
  <c r="E1070" i="4"/>
  <c r="AN68" i="3" s="1"/>
  <c r="G49" i="4"/>
  <c r="AU6" i="3" s="1"/>
  <c r="E99" i="4"/>
  <c r="G870" i="4"/>
  <c r="AF57" i="3" s="1"/>
  <c r="E904" i="4"/>
  <c r="G1300" i="4"/>
  <c r="E80" i="4"/>
  <c r="E101" i="4"/>
  <c r="AI8" i="3" s="1"/>
  <c r="E171" i="4"/>
  <c r="E553" i="4"/>
  <c r="AN37" i="3" s="1"/>
  <c r="G693" i="4"/>
  <c r="AU45" i="3" s="1"/>
  <c r="G742" i="4"/>
  <c r="G997" i="4"/>
  <c r="AK64" i="3" s="1"/>
  <c r="E1030" i="4"/>
  <c r="E1035" i="4"/>
  <c r="AS66" i="3" s="1"/>
  <c r="E1229" i="4"/>
  <c r="E1520" i="4"/>
  <c r="G1642" i="4"/>
  <c r="G1763" i="4"/>
  <c r="E487" i="4"/>
  <c r="E634" i="4"/>
  <c r="G671" i="4"/>
  <c r="G675" i="4"/>
  <c r="AU44" i="3" s="1"/>
  <c r="E778" i="4"/>
  <c r="G796" i="4"/>
  <c r="E850" i="4"/>
  <c r="E855" i="4"/>
  <c r="AS56" i="3" s="1"/>
  <c r="E922" i="4"/>
  <c r="G940" i="4"/>
  <c r="E977" i="4"/>
  <c r="G981" i="4"/>
  <c r="AU63" i="3" s="1"/>
  <c r="E996" i="4"/>
  <c r="AD64" i="3" s="1"/>
  <c r="E1051" i="4"/>
  <c r="AI67" i="3" s="1"/>
  <c r="E1071" i="4"/>
  <c r="AS68" i="3" s="1"/>
  <c r="E1085" i="4"/>
  <c r="E1230" i="4"/>
  <c r="AD78" i="3" s="1"/>
  <c r="G1467" i="4"/>
  <c r="G536" i="4"/>
  <c r="E1157" i="4"/>
  <c r="G1161" i="4"/>
  <c r="AU74" i="3" s="1"/>
  <c r="E1233" i="4"/>
  <c r="AS78" i="3" s="1"/>
  <c r="G1269" i="4"/>
  <c r="G1391" i="4"/>
  <c r="G1408" i="4"/>
  <c r="G1431" i="4"/>
  <c r="G1462" i="4"/>
  <c r="E1465" i="4"/>
  <c r="E1485" i="4"/>
  <c r="G1518" i="4"/>
  <c r="G1557" i="4"/>
  <c r="G1663" i="4"/>
  <c r="G1665" i="4"/>
  <c r="G1707" i="4"/>
  <c r="G488" i="4"/>
  <c r="G225" i="4"/>
  <c r="G314" i="4"/>
  <c r="G853" i="4"/>
  <c r="AK56" i="3" s="1"/>
  <c r="E963" i="4"/>
  <c r="AS62" i="3" s="1"/>
  <c r="E1196" i="4"/>
  <c r="AN76" i="3" s="1"/>
  <c r="G1232" i="4"/>
  <c r="AP78" i="3" s="1"/>
  <c r="G1554" i="4"/>
  <c r="G1781" i="4"/>
  <c r="E581" i="4"/>
  <c r="G690" i="4"/>
  <c r="AF45" i="3" s="1"/>
  <c r="G833" i="4"/>
  <c r="E887" i="4"/>
  <c r="E402" i="4"/>
  <c r="E44" i="4"/>
  <c r="G98" i="4"/>
  <c r="E170" i="4"/>
  <c r="E1033" i="4"/>
  <c r="AI66" i="3" s="1"/>
  <c r="E1052" i="4"/>
  <c r="AN67" i="3" s="1"/>
  <c r="G1410" i="4"/>
  <c r="G1519" i="4"/>
  <c r="E1555" i="4"/>
  <c r="G44" i="4"/>
  <c r="E47" i="4"/>
  <c r="AI6" i="3" s="1"/>
  <c r="E135" i="4"/>
  <c r="E117" i="4"/>
  <c r="G315" i="4"/>
  <c r="G452" i="4"/>
  <c r="E602" i="4"/>
  <c r="AN40" i="3" s="1"/>
  <c r="E599" i="4"/>
  <c r="G655" i="4"/>
  <c r="AK43" i="3" s="1"/>
  <c r="E711" i="4"/>
  <c r="AS46" i="3" s="1"/>
  <c r="E832" i="4"/>
  <c r="G854" i="4"/>
  <c r="AP56" i="3" s="1"/>
  <c r="E870" i="4"/>
  <c r="AD57" i="3" s="1"/>
  <c r="G872" i="4"/>
  <c r="AP57" i="3" s="1"/>
  <c r="E1034" i="4"/>
  <c r="AN66" i="3" s="1"/>
  <c r="E1050" i="4"/>
  <c r="AD67" i="3" s="1"/>
  <c r="G1067" i="4"/>
  <c r="E1069" i="4"/>
  <c r="AI68" i="3" s="1"/>
  <c r="E1102" i="4"/>
  <c r="G1121" i="4"/>
  <c r="G1138" i="4"/>
  <c r="E1266" i="4"/>
  <c r="G1466" i="4"/>
  <c r="G1521" i="4"/>
  <c r="G1555" i="4"/>
  <c r="E1593" i="4"/>
  <c r="G1624" i="4"/>
  <c r="G1740" i="4"/>
  <c r="G1759" i="4"/>
  <c r="E134" i="4"/>
  <c r="G1193" i="4"/>
  <c r="G600" i="4"/>
  <c r="AF40" i="3" s="1"/>
  <c r="G638" i="4"/>
  <c r="AP42" i="3" s="1"/>
  <c r="G670" i="4"/>
  <c r="G1762" i="4"/>
  <c r="G345" i="4"/>
  <c r="E621" i="4"/>
  <c r="AS41" i="3" s="1"/>
  <c r="E1013" i="4"/>
  <c r="E1049" i="4"/>
  <c r="E1466" i="4"/>
  <c r="E103" i="4"/>
  <c r="AS8" i="3" s="1"/>
  <c r="G243" i="4"/>
  <c r="E655" i="4"/>
  <c r="AI43" i="3" s="1"/>
  <c r="G652" i="4"/>
  <c r="E796" i="4"/>
  <c r="G961" i="4"/>
  <c r="AK62" i="3" s="1"/>
  <c r="E1067" i="4"/>
  <c r="G1071" i="4"/>
  <c r="AU68" i="3" s="1"/>
  <c r="G1159" i="4"/>
  <c r="AK74" i="3" s="1"/>
  <c r="E1304" i="4"/>
  <c r="G1372" i="4"/>
  <c r="G1539" i="4"/>
  <c r="G1592" i="4"/>
  <c r="G1500" i="4"/>
  <c r="G621" i="4"/>
  <c r="AU41" i="3" s="1"/>
  <c r="E673" i="4"/>
  <c r="AI44" i="3" s="1"/>
  <c r="E941" i="4"/>
  <c r="E616" i="4"/>
  <c r="E708" i="4"/>
  <c r="AD46" i="3" s="1"/>
  <c r="E797" i="4"/>
  <c r="G1030" i="4"/>
  <c r="G1463" i="4"/>
  <c r="G1725" i="4"/>
  <c r="G1776" i="4"/>
  <c r="G402" i="4"/>
  <c r="E407" i="4"/>
  <c r="AS28" i="3" s="1"/>
  <c r="G487" i="4"/>
  <c r="E46" i="4"/>
  <c r="AD6" i="3" s="1"/>
  <c r="G850" i="4"/>
  <c r="G941" i="4"/>
  <c r="G537" i="4"/>
  <c r="G134" i="4"/>
  <c r="E603" i="4"/>
  <c r="AS40" i="3" s="1"/>
  <c r="G977" i="4"/>
  <c r="G1427" i="4"/>
  <c r="G581" i="4"/>
  <c r="E600" i="4"/>
  <c r="AD40" i="3" s="1"/>
  <c r="G673" i="4"/>
  <c r="AK44" i="3" s="1"/>
  <c r="G1498" i="4"/>
  <c r="G1552" i="4"/>
  <c r="G45" i="4"/>
  <c r="E48" i="4"/>
  <c r="AN6" i="3" s="1"/>
  <c r="G80" i="4"/>
  <c r="E85" i="4"/>
  <c r="AS7" i="3" s="1"/>
  <c r="E100" i="4"/>
  <c r="AD8" i="3" s="1"/>
  <c r="E136" i="4"/>
  <c r="E358" i="4"/>
  <c r="E580" i="4"/>
  <c r="E585" i="4"/>
  <c r="AS39" i="3" s="1"/>
  <c r="G617" i="4"/>
  <c r="E620" i="4"/>
  <c r="AN41" i="3" s="1"/>
  <c r="E672" i="4"/>
  <c r="AD44" i="3" s="1"/>
  <c r="E675" i="4"/>
  <c r="AS44" i="3" s="1"/>
  <c r="E959" i="4"/>
  <c r="E997" i="4"/>
  <c r="AI64" i="3" s="1"/>
  <c r="G994" i="4"/>
  <c r="G1051" i="4"/>
  <c r="AK67" i="3" s="1"/>
  <c r="E1103" i="4"/>
  <c r="E1267" i="4"/>
  <c r="E1429" i="4"/>
  <c r="G1520" i="4"/>
  <c r="G1556" i="4"/>
  <c r="G1588" i="4"/>
  <c r="G1662" i="4"/>
  <c r="G1705" i="4"/>
  <c r="G1761" i="4"/>
  <c r="G283" i="4"/>
  <c r="AU20" i="3" s="1"/>
  <c r="E121" i="4"/>
  <c r="AS9" i="3" s="1"/>
  <c r="G47" i="4"/>
  <c r="AK6" i="3" s="1"/>
  <c r="E81" i="4"/>
  <c r="G136" i="4"/>
  <c r="AF10" i="3" s="1"/>
  <c r="G654" i="4"/>
  <c r="AF43" i="3" s="1"/>
  <c r="E84" i="4"/>
  <c r="AN7" i="3" s="1"/>
  <c r="G707" i="4"/>
  <c r="E707" i="4"/>
  <c r="G116" i="4"/>
  <c r="G1195" i="4"/>
  <c r="AK76" i="3" s="1"/>
  <c r="E1195" i="4"/>
  <c r="AI76" i="3" s="1"/>
  <c r="E49" i="4"/>
  <c r="AS6" i="3" s="1"/>
  <c r="G583" i="4"/>
  <c r="AK39" i="3" s="1"/>
  <c r="G46" i="4"/>
  <c r="AF6" i="3" s="1"/>
  <c r="E1591" i="4"/>
  <c r="G1591" i="4"/>
  <c r="G550" i="4"/>
  <c r="G635" i="4"/>
  <c r="E638" i="4"/>
  <c r="AN42" i="3" s="1"/>
  <c r="E688" i="4"/>
  <c r="G653" i="4"/>
  <c r="E636" i="4"/>
  <c r="AD42" i="3" s="1"/>
  <c r="E551" i="4"/>
  <c r="AD37" i="3" s="1"/>
  <c r="E976" i="4"/>
  <c r="G1012" i="4"/>
  <c r="G1103" i="4"/>
  <c r="G584" i="4"/>
  <c r="AP39" i="3" s="1"/>
  <c r="E693" i="4"/>
  <c r="AS45" i="3" s="1"/>
  <c r="E853" i="4"/>
  <c r="E960" i="4"/>
  <c r="AD62" i="3" s="1"/>
  <c r="G1483" i="4"/>
  <c r="G224" i="4"/>
  <c r="G616" i="4"/>
  <c r="G708" i="4"/>
  <c r="AF46" i="3" s="1"/>
  <c r="G1156" i="4"/>
  <c r="G434" i="4"/>
  <c r="E434" i="4"/>
  <c r="G451" i="4"/>
  <c r="G1660" i="4"/>
  <c r="E1660" i="4"/>
  <c r="E26" i="4"/>
  <c r="G1013" i="4"/>
  <c r="G99" i="4"/>
  <c r="E225" i="4"/>
  <c r="G260" i="4"/>
  <c r="E743" i="4"/>
  <c r="E814" i="4"/>
  <c r="E1305" i="4"/>
  <c r="G778" i="4"/>
  <c r="G470" i="4"/>
  <c r="G598" i="4"/>
  <c r="G656" i="4"/>
  <c r="AP43" i="3" s="1"/>
  <c r="G922" i="4"/>
  <c r="G1032" i="4"/>
  <c r="AF66" i="3" s="1"/>
  <c r="G1053" i="4"/>
  <c r="AU67" i="3" s="1"/>
  <c r="G261" i="4"/>
  <c r="G743" i="4"/>
  <c r="E851" i="4"/>
  <c r="G976" i="4"/>
  <c r="E979" i="4"/>
  <c r="AI63" i="3" s="1"/>
  <c r="G1052" i="4"/>
  <c r="AP67" i="3" s="1"/>
  <c r="E1121" i="4"/>
  <c r="G1157" i="4"/>
  <c r="G1643" i="4"/>
  <c r="G416" i="4"/>
  <c r="G724" i="4"/>
  <c r="G886" i="4"/>
  <c r="E886" i="4"/>
  <c r="G1033" i="4"/>
  <c r="AK66" i="3" s="1"/>
  <c r="E1048" i="4"/>
  <c r="E1068" i="4"/>
  <c r="AD68" i="3" s="1"/>
  <c r="G1196" i="4"/>
  <c r="AP76" i="3" s="1"/>
  <c r="G1742" i="4"/>
  <c r="E1742" i="4"/>
  <c r="G1779" i="4"/>
  <c r="E905" i="4"/>
  <c r="E980" i="4"/>
  <c r="AN63" i="3" s="1"/>
  <c r="E1031" i="4"/>
  <c r="G1048" i="4"/>
  <c r="G1068" i="4"/>
  <c r="AF68" i="3" s="1"/>
  <c r="G1303" i="4"/>
  <c r="E1627" i="4"/>
  <c r="G1627" i="4"/>
  <c r="G359" i="4"/>
  <c r="E415" i="4"/>
  <c r="G779" i="4"/>
  <c r="G960" i="4"/>
  <c r="AF62" i="3" s="1"/>
  <c r="E981" i="4"/>
  <c r="AS63" i="3" s="1"/>
  <c r="G1268" i="4"/>
  <c r="G905" i="4"/>
  <c r="E1139" i="4"/>
  <c r="G1590" i="4"/>
  <c r="E1629" i="4"/>
  <c r="G1706" i="4"/>
  <c r="G1724" i="4"/>
  <c r="G1760" i="4"/>
  <c r="G489" i="4"/>
  <c r="AF33" i="3" s="1"/>
  <c r="G1444" i="4"/>
  <c r="G1664" i="4"/>
  <c r="E833" i="4"/>
  <c r="G1741" i="4"/>
  <c r="G278" i="4"/>
  <c r="E403" i="4"/>
  <c r="E1372" i="4"/>
  <c r="E1431" i="4"/>
  <c r="G1465" i="4"/>
  <c r="G1480" i="4"/>
  <c r="G1536" i="4"/>
  <c r="G1647" i="4"/>
  <c r="G1534" i="4"/>
  <c r="G403" i="4"/>
  <c r="G1570" i="4"/>
  <c r="G1485" i="4"/>
  <c r="G279" i="4"/>
  <c r="G1866" i="4"/>
  <c r="E1866" i="4"/>
  <c r="G1794" i="4"/>
  <c r="G1606" i="4"/>
  <c r="E1588" i="4"/>
  <c r="E1534" i="4"/>
  <c r="G1211" i="4"/>
  <c r="E1211" i="4"/>
  <c r="G1210" i="4"/>
  <c r="E1210" i="4"/>
  <c r="G1175" i="4"/>
  <c r="E1175" i="4"/>
  <c r="G1174" i="4"/>
  <c r="E1174" i="4"/>
  <c r="G1139" i="4"/>
  <c r="G1084" i="4"/>
  <c r="E1084" i="4"/>
  <c r="E923" i="4"/>
  <c r="G904" i="4"/>
  <c r="E742" i="4"/>
  <c r="E452" i="4"/>
  <c r="E416" i="4"/>
  <c r="G297" i="4"/>
  <c r="G242" i="4"/>
  <c r="E242" i="4"/>
  <c r="G27" i="4"/>
  <c r="E27" i="4"/>
  <c r="G26" i="4"/>
  <c r="E9" i="4"/>
  <c r="R1066" i="4" l="1"/>
  <c r="AC827" i="4"/>
  <c r="AW20" i="3"/>
  <c r="D285" i="4"/>
  <c r="D286" i="4" s="1"/>
  <c r="D287" i="4" s="1"/>
  <c r="D288" i="4" s="1"/>
  <c r="D289" i="4" s="1"/>
  <c r="AF833" i="4"/>
  <c r="R924" i="4"/>
  <c r="R1610" i="4"/>
  <c r="AI56" i="3"/>
  <c r="AC830" i="4"/>
  <c r="AD830" i="4" s="1"/>
  <c r="R1615" i="4"/>
  <c r="R1614" i="4"/>
  <c r="R1612" i="4"/>
  <c r="R1613" i="4"/>
  <c r="R1617" i="4"/>
  <c r="R1616" i="4"/>
  <c r="AD10" i="3"/>
  <c r="R1068" i="4"/>
  <c r="R905" i="4"/>
  <c r="AB841" i="4"/>
  <c r="R996" i="4"/>
  <c r="R1050" i="4"/>
  <c r="R960" i="4"/>
  <c r="AC829" i="4"/>
  <c r="AD829" i="4" s="1"/>
  <c r="AG827" i="4"/>
  <c r="AH827" i="4" s="1"/>
  <c r="R977" i="4"/>
  <c r="R995" i="4"/>
  <c r="R906" i="4"/>
  <c r="R958" i="4"/>
  <c r="R1012" i="4"/>
  <c r="AD827" i="4"/>
  <c r="R942" i="4"/>
  <c r="AG839" i="4"/>
  <c r="AH839" i="4" s="1"/>
  <c r="AB838" i="4"/>
  <c r="AD838" i="4" s="1"/>
  <c r="AF840" i="4"/>
  <c r="AH840" i="4" s="1"/>
  <c r="R888" i="4"/>
  <c r="AF830" i="4"/>
  <c r="AH830" i="4" s="1"/>
  <c r="AD836" i="4"/>
  <c r="R834" i="4"/>
  <c r="R870" i="4"/>
  <c r="AH833" i="4"/>
  <c r="AC835" i="4"/>
  <c r="AD835" i="4" s="1"/>
  <c r="R1069" i="4"/>
  <c r="AB833" i="4"/>
  <c r="R1014" i="4"/>
  <c r="R978" i="4"/>
  <c r="AD841" i="4"/>
  <c r="AH841" i="4"/>
  <c r="AB840" i="4"/>
  <c r="AD840" i="4" s="1"/>
  <c r="AC839" i="4"/>
  <c r="AD839" i="4" s="1"/>
  <c r="AG829" i="4"/>
  <c r="AH829" i="4" s="1"/>
  <c r="R1661" i="4"/>
  <c r="R316" i="4"/>
  <c r="P316" i="4"/>
  <c r="R1662" i="4"/>
  <c r="R317" i="4"/>
  <c r="P317" i="4"/>
  <c r="J10" i="5"/>
  <c r="J9" i="5"/>
  <c r="AV86" i="3" s="1"/>
  <c r="AV94" i="3" s="1"/>
  <c r="J8" i="5"/>
  <c r="J6" i="5"/>
  <c r="AV83" i="3" s="1"/>
  <c r="J5" i="5"/>
  <c r="AV81" i="3" s="1"/>
  <c r="I10" i="5"/>
  <c r="AQ87" i="3" s="1"/>
  <c r="AQ95" i="3" s="1"/>
  <c r="I9" i="5"/>
  <c r="AQ86" i="3" s="1"/>
  <c r="AQ94" i="3" s="1"/>
  <c r="I8" i="5"/>
  <c r="AQ85" i="3" s="1"/>
  <c r="AQ91" i="3" s="1"/>
  <c r="I6" i="5"/>
  <c r="AQ83" i="3" s="1"/>
  <c r="I5" i="5"/>
  <c r="AQ81" i="3" s="1"/>
  <c r="H5" i="5"/>
  <c r="AL81" i="3" s="1"/>
  <c r="H6" i="5"/>
  <c r="AL83" i="3" s="1"/>
  <c r="H10" i="5"/>
  <c r="AL87" i="3" s="1"/>
  <c r="AL95" i="3" s="1"/>
  <c r="H9" i="5"/>
  <c r="AL86" i="3" s="1"/>
  <c r="AL94" i="3" s="1"/>
  <c r="H8" i="5"/>
  <c r="AL85" i="3" s="1"/>
  <c r="AL91" i="3" s="1"/>
  <c r="AV119" i="2"/>
  <c r="AQ119" i="2"/>
  <c r="AL119" i="2"/>
  <c r="AG119" i="2"/>
  <c r="F10" i="5"/>
  <c r="AB87" i="3" s="1"/>
  <c r="AB95" i="3" s="1"/>
  <c r="F9" i="5"/>
  <c r="AB86" i="3" s="1"/>
  <c r="AB94" i="3" s="1"/>
  <c r="F8" i="5"/>
  <c r="AB85" i="3" s="1"/>
  <c r="AB91" i="3" s="1"/>
  <c r="F6" i="5"/>
  <c r="AB83" i="3" s="1"/>
  <c r="F5" i="5"/>
  <c r="AB81" i="3" s="1"/>
  <c r="AB119" i="2"/>
  <c r="E10" i="5"/>
  <c r="E9" i="5"/>
  <c r="E8" i="5"/>
  <c r="E6" i="5"/>
  <c r="E5" i="5"/>
  <c r="W119" i="2"/>
  <c r="AD833" i="4" l="1"/>
  <c r="AQ96" i="3"/>
  <c r="AL96" i="3"/>
  <c r="AV87" i="3"/>
  <c r="AV95" i="3" s="1"/>
  <c r="AV96" i="3" s="1"/>
  <c r="K10" i="5"/>
  <c r="AV85" i="3"/>
  <c r="AV91" i="3" s="1"/>
  <c r="K8" i="5"/>
  <c r="AB96" i="3"/>
  <c r="E7" i="5"/>
  <c r="J7" i="5"/>
  <c r="AV84" i="3" s="1"/>
  <c r="I7" i="5"/>
  <c r="AQ84" i="3" s="1"/>
  <c r="H7" i="5"/>
  <c r="AL84" i="3" s="1"/>
  <c r="F7" i="5"/>
  <c r="AB84" i="3" s="1"/>
  <c r="AF114" i="2"/>
  <c r="AF113" i="2"/>
  <c r="AF112" i="2"/>
  <c r="AD114" i="2"/>
  <c r="AD113" i="2"/>
  <c r="AD112" i="2"/>
  <c r="L10" i="5" l="1"/>
  <c r="M10" i="5" s="1"/>
  <c r="N10" i="5" s="1"/>
  <c r="O10" i="5" s="1"/>
  <c r="P10" i="5" s="1"/>
  <c r="BA87" i="3"/>
  <c r="BA95" i="3" s="1"/>
  <c r="L8" i="5"/>
  <c r="M8" i="5" s="1"/>
  <c r="N8" i="5" s="1"/>
  <c r="O8" i="5" s="1"/>
  <c r="P8" i="5" s="1"/>
  <c r="BA85" i="3"/>
  <c r="BA91" i="3" s="1"/>
  <c r="AL14" i="2"/>
  <c r="H119" i="4" s="1"/>
  <c r="AL9" i="3" s="1"/>
  <c r="V112" i="2" l="1"/>
  <c r="V113" i="2"/>
  <c r="V114" i="2"/>
  <c r="T112" i="2"/>
  <c r="T113" i="2"/>
  <c r="T114" i="2"/>
  <c r="V103" i="2"/>
  <c r="V102" i="2"/>
  <c r="V101" i="2"/>
  <c r="V100" i="2"/>
  <c r="V99" i="2"/>
  <c r="V98" i="2"/>
  <c r="V97" i="2"/>
  <c r="V96" i="2"/>
  <c r="V95" i="2"/>
  <c r="V94" i="2"/>
  <c r="V93" i="2"/>
  <c r="V92" i="2"/>
  <c r="V91" i="2"/>
  <c r="V90" i="2"/>
  <c r="V89" i="2"/>
  <c r="V88" i="2"/>
  <c r="V87" i="2"/>
  <c r="V86" i="2"/>
  <c r="V85" i="2"/>
  <c r="V69" i="2"/>
  <c r="V68" i="2"/>
  <c r="V67" i="2"/>
  <c r="V66" i="2"/>
  <c r="V65" i="2"/>
  <c r="V64" i="2"/>
  <c r="V63" i="2"/>
  <c r="V62" i="2"/>
  <c r="V61" i="2"/>
  <c r="V60" i="2"/>
  <c r="V59" i="2"/>
  <c r="V58" i="2"/>
  <c r="V57" i="2"/>
  <c r="V56" i="2"/>
  <c r="V55" i="2"/>
  <c r="V54" i="2"/>
  <c r="V53" i="2"/>
  <c r="V52" i="2"/>
  <c r="V51" i="2"/>
  <c r="V50" i="2"/>
  <c r="V49" i="2"/>
  <c r="V48" i="2"/>
  <c r="V47" i="2"/>
  <c r="V46" i="2"/>
  <c r="V42" i="2"/>
  <c r="V41" i="2"/>
  <c r="V40" i="2"/>
  <c r="V39" i="2"/>
  <c r="V38" i="2"/>
  <c r="V37" i="2"/>
  <c r="V36" i="2"/>
  <c r="V35" i="2"/>
  <c r="V34" i="2"/>
  <c r="V33" i="2"/>
  <c r="V32" i="2"/>
  <c r="V30" i="2"/>
  <c r="V29" i="2"/>
  <c r="V28" i="2"/>
  <c r="V27" i="2"/>
  <c r="V26" i="2"/>
  <c r="V25" i="2"/>
  <c r="V24" i="2"/>
  <c r="V23" i="2"/>
  <c r="V22" i="2"/>
  <c r="V21" i="2"/>
  <c r="V20" i="2"/>
  <c r="V18" i="2"/>
  <c r="V17" i="2"/>
  <c r="V15" i="2"/>
  <c r="V14" i="2"/>
  <c r="V13" i="2"/>
  <c r="V12" i="2"/>
  <c r="V10" i="2"/>
  <c r="V9" i="2"/>
  <c r="V8" i="2"/>
  <c r="V7" i="2"/>
  <c r="V6" i="2"/>
  <c r="V5" i="2"/>
  <c r="V4" i="2"/>
  <c r="T103" i="2"/>
  <c r="T102" i="2"/>
  <c r="T101" i="2"/>
  <c r="T100" i="2"/>
  <c r="T99" i="2"/>
  <c r="T98" i="2"/>
  <c r="T97" i="2"/>
  <c r="T96" i="2"/>
  <c r="T95" i="2"/>
  <c r="T94" i="2"/>
  <c r="T93" i="2"/>
  <c r="T92" i="2"/>
  <c r="T91" i="2"/>
  <c r="T90" i="2"/>
  <c r="T89" i="2"/>
  <c r="T88" i="2"/>
  <c r="T87" i="2"/>
  <c r="T86" i="2"/>
  <c r="T85" i="2"/>
  <c r="T69" i="2"/>
  <c r="T68" i="2"/>
  <c r="T67" i="2"/>
  <c r="T66" i="2"/>
  <c r="T65" i="2"/>
  <c r="T64" i="2"/>
  <c r="T63" i="2"/>
  <c r="T62" i="2"/>
  <c r="T61" i="2"/>
  <c r="T60" i="2"/>
  <c r="T59" i="2"/>
  <c r="T58" i="2"/>
  <c r="T57" i="2"/>
  <c r="T56" i="2"/>
  <c r="T55" i="2"/>
  <c r="T54" i="2"/>
  <c r="T53" i="2"/>
  <c r="T52" i="2"/>
  <c r="T51" i="2"/>
  <c r="T50" i="2"/>
  <c r="T49" i="2"/>
  <c r="T48" i="2"/>
  <c r="T47" i="2"/>
  <c r="T46" i="2"/>
  <c r="T42" i="2"/>
  <c r="T41" i="2"/>
  <c r="T40" i="2"/>
  <c r="T39" i="2"/>
  <c r="T38" i="2"/>
  <c r="T37" i="2"/>
  <c r="T36" i="2"/>
  <c r="T35" i="2"/>
  <c r="T34" i="2"/>
  <c r="T33" i="2"/>
  <c r="T32" i="2"/>
  <c r="T31" i="2"/>
  <c r="T30" i="2"/>
  <c r="T29" i="2"/>
  <c r="T28" i="2"/>
  <c r="T27" i="2"/>
  <c r="T26" i="2"/>
  <c r="T25" i="2"/>
  <c r="T24" i="2"/>
  <c r="T23" i="2"/>
  <c r="T22" i="2"/>
  <c r="T21" i="2"/>
  <c r="T20" i="2"/>
  <c r="T18" i="2"/>
  <c r="T17" i="2"/>
  <c r="T15" i="2"/>
  <c r="T14" i="2"/>
  <c r="T13" i="2"/>
  <c r="T12" i="2"/>
  <c r="T10" i="2"/>
  <c r="T9" i="2"/>
  <c r="T8" i="2"/>
  <c r="T7" i="2"/>
  <c r="T6" i="2"/>
  <c r="T5" i="2"/>
  <c r="T4" i="2"/>
  <c r="AD15" i="2"/>
  <c r="H798" i="4"/>
  <c r="AG51" i="3" s="1"/>
  <c r="F798" i="4"/>
  <c r="AE51" i="3" s="1"/>
  <c r="AG49" i="2"/>
  <c r="AG115" i="2" s="1"/>
  <c r="AE49" i="2"/>
  <c r="F762" i="4" s="1"/>
  <c r="AE49" i="3" s="1"/>
  <c r="AC49" i="2"/>
  <c r="D762" i="4" s="1"/>
  <c r="AC49" i="3" s="1"/>
  <c r="AL51" i="2"/>
  <c r="AJ51" i="2"/>
  <c r="F799" i="4" s="1"/>
  <c r="AJ51" i="3" s="1"/>
  <c r="AH51" i="2"/>
  <c r="D799" i="4" s="1"/>
  <c r="AH52" i="2"/>
  <c r="D817" i="4" s="1"/>
  <c r="AH52" i="3" s="1"/>
  <c r="AJ52" i="2"/>
  <c r="F817" i="4" s="1"/>
  <c r="AJ52" i="3" s="1"/>
  <c r="AL52" i="2"/>
  <c r="H817" i="4" s="1"/>
  <c r="AL52" i="3" s="1"/>
  <c r="AL49" i="2"/>
  <c r="H763" i="4" s="1"/>
  <c r="AL49" i="3" s="1"/>
  <c r="AJ49" i="2"/>
  <c r="F763" i="4" s="1"/>
  <c r="AJ49" i="3" s="1"/>
  <c r="AH49" i="2"/>
  <c r="D763" i="4" s="1"/>
  <c r="AH49" i="3" s="1"/>
  <c r="AL48" i="2"/>
  <c r="H745" i="4" s="1"/>
  <c r="AL48" i="3" s="1"/>
  <c r="AJ48" i="2"/>
  <c r="F745" i="4" s="1"/>
  <c r="AJ48" i="3" s="1"/>
  <c r="AH48" i="2"/>
  <c r="D745" i="4" s="1"/>
  <c r="AL47" i="2"/>
  <c r="H727" i="4" s="1"/>
  <c r="AL47" i="3" s="1"/>
  <c r="AJ47" i="2"/>
  <c r="F727" i="4" s="1"/>
  <c r="AJ47" i="3" s="1"/>
  <c r="AH47" i="2"/>
  <c r="D727" i="4" s="1"/>
  <c r="AH47" i="3" s="1"/>
  <c r="AJ82" i="2"/>
  <c r="F1501" i="4" s="1"/>
  <c r="S1015" i="4" s="1"/>
  <c r="AH82" i="2"/>
  <c r="D1501" i="4" s="1"/>
  <c r="AL82" i="2"/>
  <c r="H1501" i="4" s="1"/>
  <c r="AL79" i="2"/>
  <c r="H1447" i="4" s="1"/>
  <c r="AJ79" i="2"/>
  <c r="F1447" i="4" s="1"/>
  <c r="S961" i="4" s="1"/>
  <c r="AH79" i="2"/>
  <c r="D1447" i="4" s="1"/>
  <c r="Q961" i="4" s="1"/>
  <c r="AI81" i="2"/>
  <c r="AH76" i="2"/>
  <c r="D1411" i="4" s="1"/>
  <c r="Q925" i="4" s="1"/>
  <c r="AJ76" i="2"/>
  <c r="F1411" i="4" s="1"/>
  <c r="S925" i="4" s="1"/>
  <c r="AL76" i="2"/>
  <c r="AL75" i="2"/>
  <c r="H1393" i="4" s="1"/>
  <c r="AJ75" i="2"/>
  <c r="AH75" i="2"/>
  <c r="D1393" i="4" s="1"/>
  <c r="Q907" i="4" s="1"/>
  <c r="AL5" i="2"/>
  <c r="AJ5" i="2"/>
  <c r="F361" i="4" s="1"/>
  <c r="AJ25" i="3" s="1"/>
  <c r="AH5" i="2"/>
  <c r="D361" i="4" s="1"/>
  <c r="AH25" i="3" s="1"/>
  <c r="AH15" i="2"/>
  <c r="D137" i="4" s="1"/>
  <c r="AJ15" i="2"/>
  <c r="F137" i="4" s="1"/>
  <c r="AJ10" i="3" s="1"/>
  <c r="AL15" i="2"/>
  <c r="H137" i="4" s="1"/>
  <c r="AL10" i="3" s="1"/>
  <c r="AL80" i="3" s="1"/>
  <c r="AL82" i="3" s="1"/>
  <c r="AL90" i="3" s="1"/>
  <c r="AL92" i="3" s="1"/>
  <c r="AL98" i="3" s="1"/>
  <c r="AJ14" i="2"/>
  <c r="AH14" i="2"/>
  <c r="D119" i="4" s="1"/>
  <c r="AH9" i="3" s="1"/>
  <c r="AK4" i="2"/>
  <c r="AK6" i="2"/>
  <c r="AK7" i="2"/>
  <c r="AK8" i="2"/>
  <c r="AK9" i="2"/>
  <c r="AK10" i="2"/>
  <c r="AK12" i="2"/>
  <c r="AK13" i="2"/>
  <c r="AK17" i="2"/>
  <c r="AK18" i="2"/>
  <c r="AK20" i="2"/>
  <c r="AK21" i="2"/>
  <c r="AK22" i="2"/>
  <c r="AK23" i="2"/>
  <c r="AK24" i="2"/>
  <c r="AK25" i="2"/>
  <c r="AK26" i="2"/>
  <c r="AK27" i="2"/>
  <c r="AK28" i="2"/>
  <c r="AK29" i="2"/>
  <c r="AK30" i="2"/>
  <c r="AK31" i="2"/>
  <c r="AK32" i="2"/>
  <c r="AK33" i="2"/>
  <c r="AK34" i="2"/>
  <c r="AK35" i="2"/>
  <c r="AK36" i="2"/>
  <c r="AK37" i="2"/>
  <c r="AK38" i="2"/>
  <c r="AK41" i="2"/>
  <c r="AK42" i="2"/>
  <c r="AK46" i="2"/>
  <c r="AK50" i="2"/>
  <c r="AK53" i="2"/>
  <c r="AK54" i="2"/>
  <c r="AK55" i="2"/>
  <c r="AK56" i="2"/>
  <c r="AK57" i="2"/>
  <c r="AK58" i="2"/>
  <c r="AK59" i="2"/>
  <c r="AK60" i="2"/>
  <c r="AK61" i="2"/>
  <c r="AK62" i="2"/>
  <c r="AK63" i="2"/>
  <c r="AK64" i="2"/>
  <c r="AK65" i="2"/>
  <c r="AK66" i="2"/>
  <c r="AK67" i="2"/>
  <c r="AK68" i="2"/>
  <c r="AK69" i="2"/>
  <c r="AK70" i="2"/>
  <c r="AK71" i="2"/>
  <c r="AK72" i="2"/>
  <c r="AK73" i="2"/>
  <c r="AK74" i="2"/>
  <c r="AK77" i="2"/>
  <c r="AK78" i="2"/>
  <c r="AK80" i="2"/>
  <c r="AK81" i="2"/>
  <c r="AK83" i="2"/>
  <c r="AK84" i="2"/>
  <c r="AK85" i="2"/>
  <c r="AK86" i="2"/>
  <c r="AK87" i="2"/>
  <c r="AK88" i="2"/>
  <c r="AK89" i="2"/>
  <c r="AK90" i="2"/>
  <c r="AK91" i="2"/>
  <c r="AK92" i="2"/>
  <c r="AK93" i="2"/>
  <c r="AK94" i="2"/>
  <c r="AK95" i="2"/>
  <c r="AK96" i="2"/>
  <c r="AK97" i="2"/>
  <c r="AK98" i="2"/>
  <c r="AK99" i="2"/>
  <c r="AK100" i="2"/>
  <c r="AK101" i="2"/>
  <c r="AK102" i="2"/>
  <c r="AK103" i="2"/>
  <c r="AK40" i="2"/>
  <c r="AK39" i="2"/>
  <c r="D120" i="4"/>
  <c r="AM9" i="3" s="1"/>
  <c r="AQ5" i="2"/>
  <c r="AO5" i="2"/>
  <c r="F362" i="4" s="1"/>
  <c r="AO25" i="3" s="1"/>
  <c r="AM5" i="2"/>
  <c r="D362" i="4" s="1"/>
  <c r="AM25" i="3" s="1"/>
  <c r="D138" i="4"/>
  <c r="F138" i="4"/>
  <c r="AO10" i="3" s="1"/>
  <c r="H138" i="4"/>
  <c r="AQ10" i="3" s="1"/>
  <c r="H120" i="4"/>
  <c r="AQ9" i="3" s="1"/>
  <c r="F120" i="4"/>
  <c r="AO9" i="3" s="1"/>
  <c r="H139" i="4"/>
  <c r="AV10" i="3" s="1"/>
  <c r="AV80" i="3" s="1"/>
  <c r="AV82" i="3" s="1"/>
  <c r="AV90" i="3" s="1"/>
  <c r="AV92" i="3" s="1"/>
  <c r="AV98" i="3" s="1"/>
  <c r="F139" i="4"/>
  <c r="AT10" i="3" s="1"/>
  <c r="D139" i="4"/>
  <c r="AQ49" i="2"/>
  <c r="H764" i="4" s="1"/>
  <c r="AQ49" i="3" s="1"/>
  <c r="AO49" i="2"/>
  <c r="F764" i="4" s="1"/>
  <c r="AO49" i="3" s="1"/>
  <c r="AM49" i="2"/>
  <c r="D764" i="4" s="1"/>
  <c r="AM49" i="3" s="1"/>
  <c r="AQ52" i="2"/>
  <c r="H818" i="4" s="1"/>
  <c r="AQ52" i="3" s="1"/>
  <c r="AO52" i="2"/>
  <c r="F818" i="4" s="1"/>
  <c r="AO52" i="3" s="1"/>
  <c r="AM52" i="2"/>
  <c r="D818" i="4" s="1"/>
  <c r="AM52" i="3" s="1"/>
  <c r="AM51" i="2"/>
  <c r="D800" i="4" s="1"/>
  <c r="AO51" i="2"/>
  <c r="F800" i="4" s="1"/>
  <c r="AO51" i="3" s="1"/>
  <c r="AQ51" i="2"/>
  <c r="H800" i="4" s="1"/>
  <c r="AQ51" i="3" s="1"/>
  <c r="AQ75" i="2"/>
  <c r="H1394" i="4" s="1"/>
  <c r="AO75" i="2"/>
  <c r="F1394" i="4" s="1"/>
  <c r="S908" i="4" s="1"/>
  <c r="AM75" i="2"/>
  <c r="D1394" i="4" s="1"/>
  <c r="Q908" i="4" s="1"/>
  <c r="AM76" i="2"/>
  <c r="D1412" i="4" s="1"/>
  <c r="Q926" i="4" s="1"/>
  <c r="AO76" i="2"/>
  <c r="F1412" i="4" s="1"/>
  <c r="S926" i="4" s="1"/>
  <c r="AQ76" i="2"/>
  <c r="H1412" i="4" s="1"/>
  <c r="AQ79" i="2"/>
  <c r="H1448" i="4" s="1"/>
  <c r="AO79" i="2"/>
  <c r="F1448" i="4" s="1"/>
  <c r="S962" i="4" s="1"/>
  <c r="AM79" i="2"/>
  <c r="D1448" i="4" s="1"/>
  <c r="Q962" i="4" s="1"/>
  <c r="AM82" i="2"/>
  <c r="D1502" i="4" s="1"/>
  <c r="AO82" i="2"/>
  <c r="F1502" i="4" s="1"/>
  <c r="S1016" i="4" s="1"/>
  <c r="AQ82" i="2"/>
  <c r="H1502" i="4" s="1"/>
  <c r="D749" i="4" l="1"/>
  <c r="D753" i="4"/>
  <c r="D751" i="4"/>
  <c r="AK5" i="2"/>
  <c r="H362" i="4"/>
  <c r="AQ25" i="3" s="1"/>
  <c r="AQ115" i="2"/>
  <c r="Q1015" i="4"/>
  <c r="N1627" i="4"/>
  <c r="Q1016" i="4"/>
  <c r="N1628" i="4"/>
  <c r="AH51" i="3"/>
  <c r="Q799" i="4"/>
  <c r="AM51" i="3"/>
  <c r="Q800" i="4"/>
  <c r="AH48" i="3"/>
  <c r="AR10" i="3"/>
  <c r="AM10" i="3"/>
  <c r="AH10" i="3"/>
  <c r="AQ80" i="3"/>
  <c r="AQ82" i="3" s="1"/>
  <c r="AQ90" i="3" s="1"/>
  <c r="AQ92" i="3" s="1"/>
  <c r="AQ98" i="3" s="1"/>
  <c r="H361" i="4"/>
  <c r="AL25" i="3" s="1"/>
  <c r="AL115" i="2"/>
  <c r="E1412" i="4"/>
  <c r="E137" i="4"/>
  <c r="E1502" i="4"/>
  <c r="G1394" i="4"/>
  <c r="G1502" i="4"/>
  <c r="E1411" i="4"/>
  <c r="E1448" i="4"/>
  <c r="E1447" i="4"/>
  <c r="G139" i="4"/>
  <c r="AU10" i="3" s="1"/>
  <c r="G138" i="4"/>
  <c r="AP10" i="3" s="1"/>
  <c r="E120" i="4"/>
  <c r="AN9" i="3" s="1"/>
  <c r="AK14" i="2"/>
  <c r="F119" i="4"/>
  <c r="AK75" i="2"/>
  <c r="F1393" i="4"/>
  <c r="G1447" i="4"/>
  <c r="G1412" i="4"/>
  <c r="E139" i="4"/>
  <c r="AS10" i="3" s="1"/>
  <c r="G137" i="4"/>
  <c r="AK10" i="3" s="1"/>
  <c r="G1501" i="4"/>
  <c r="AK76" i="2"/>
  <c r="H1411" i="4"/>
  <c r="G1411" i="4" s="1"/>
  <c r="G1448" i="4"/>
  <c r="E1501" i="4"/>
  <c r="E1394" i="4"/>
  <c r="H762" i="4"/>
  <c r="AG49" i="3" s="1"/>
  <c r="AK51" i="2"/>
  <c r="H799" i="4"/>
  <c r="AL51" i="3" s="1"/>
  <c r="E138" i="4"/>
  <c r="AN10" i="3" s="1"/>
  <c r="AD51" i="2"/>
  <c r="D798" i="4"/>
  <c r="AK49" i="2"/>
  <c r="AK82" i="2"/>
  <c r="AK79" i="2"/>
  <c r="AK48" i="2"/>
  <c r="AK15" i="2"/>
  <c r="AK52" i="2"/>
  <c r="AK47" i="2"/>
  <c r="AV82" i="2"/>
  <c r="H1503" i="4" s="1"/>
  <c r="AT82" i="2"/>
  <c r="F1503" i="4" s="1"/>
  <c r="AE837" i="4" s="1"/>
  <c r="AF837" i="4" s="1"/>
  <c r="AR82" i="2"/>
  <c r="D1503" i="4" s="1"/>
  <c r="AV79" i="2"/>
  <c r="H1449" i="4" s="1"/>
  <c r="AT79" i="2"/>
  <c r="AR79" i="2"/>
  <c r="D1449" i="4" s="1"/>
  <c r="Q963" i="4" s="1"/>
  <c r="AV76" i="2"/>
  <c r="H1413" i="4" s="1"/>
  <c r="AT76" i="2"/>
  <c r="F1413" i="4" s="1"/>
  <c r="AR76" i="2"/>
  <c r="D1413" i="4" s="1"/>
  <c r="Q927" i="4" s="1"/>
  <c r="AV75" i="2"/>
  <c r="H1395" i="4" s="1"/>
  <c r="AT75" i="2"/>
  <c r="F1395" i="4" s="1"/>
  <c r="AR75" i="2"/>
  <c r="D1395" i="4" s="1"/>
  <c r="Q909" i="4" s="1"/>
  <c r="AV72" i="2"/>
  <c r="H1341" i="4" s="1"/>
  <c r="AT72" i="2"/>
  <c r="F1341" i="4" s="1"/>
  <c r="S855" i="4" s="1"/>
  <c r="AR72" i="2"/>
  <c r="D1341" i="4" s="1"/>
  <c r="Q855" i="4" s="1"/>
  <c r="AV52" i="2"/>
  <c r="H819" i="4" s="1"/>
  <c r="AV52" i="3" s="1"/>
  <c r="AT52" i="2"/>
  <c r="F819" i="4" s="1"/>
  <c r="AT52" i="3" s="1"/>
  <c r="AR52" i="2"/>
  <c r="D819" i="4" s="1"/>
  <c r="AR52" i="3" s="1"/>
  <c r="AR51" i="2"/>
  <c r="D801" i="4" s="1"/>
  <c r="AT51" i="2"/>
  <c r="F801" i="4" s="1"/>
  <c r="AT51" i="3" s="1"/>
  <c r="AV51" i="2"/>
  <c r="AV50" i="2"/>
  <c r="H783" i="4" s="1"/>
  <c r="AV50" i="3" s="1"/>
  <c r="AT50" i="2"/>
  <c r="F783" i="4" s="1"/>
  <c r="AT50" i="3" s="1"/>
  <c r="AR50" i="2"/>
  <c r="D783" i="4" s="1"/>
  <c r="AV49" i="2"/>
  <c r="H765" i="4" s="1"/>
  <c r="AV49" i="3" s="1"/>
  <c r="AT49" i="2"/>
  <c r="F765" i="4" s="1"/>
  <c r="AT49" i="3" s="1"/>
  <c r="AR49" i="2"/>
  <c r="D765" i="4" s="1"/>
  <c r="AR49" i="3" s="1"/>
  <c r="AR48" i="2"/>
  <c r="D747" i="4" s="1"/>
  <c r="AR48" i="3" s="1"/>
  <c r="AT48" i="2"/>
  <c r="AV48" i="2"/>
  <c r="AV47" i="2"/>
  <c r="H729" i="4" s="1"/>
  <c r="AV47" i="3" s="1"/>
  <c r="AT47" i="2"/>
  <c r="F729" i="4" s="1"/>
  <c r="AT47" i="3" s="1"/>
  <c r="AR47" i="2"/>
  <c r="D729" i="4" s="1"/>
  <c r="AU62" i="2"/>
  <c r="AV5" i="2"/>
  <c r="AT5" i="2"/>
  <c r="F363" i="4" s="1"/>
  <c r="AT25" i="3" s="1"/>
  <c r="AR5" i="2"/>
  <c r="Y103" i="2"/>
  <c r="Y102" i="2"/>
  <c r="Y101" i="2"/>
  <c r="Y100" i="2"/>
  <c r="Y99" i="2"/>
  <c r="Y98" i="2"/>
  <c r="Y97" i="2"/>
  <c r="Y96" i="2"/>
  <c r="Y95" i="2"/>
  <c r="Y94" i="2"/>
  <c r="Y93" i="2"/>
  <c r="Y92" i="2"/>
  <c r="Y91" i="2"/>
  <c r="Y90" i="2"/>
  <c r="Y89" i="2"/>
  <c r="Y88" i="2"/>
  <c r="Y87" i="2"/>
  <c r="Y86" i="2"/>
  <c r="Y85" i="2"/>
  <c r="Y69" i="2"/>
  <c r="Y68" i="2"/>
  <c r="Y67" i="2"/>
  <c r="Y66" i="2"/>
  <c r="Y65" i="2"/>
  <c r="Y64" i="2"/>
  <c r="Y63" i="2"/>
  <c r="Y62" i="2"/>
  <c r="Y61" i="2"/>
  <c r="Y60" i="2"/>
  <c r="Y59" i="2"/>
  <c r="Y58" i="2"/>
  <c r="Y57" i="2"/>
  <c r="Y56" i="2"/>
  <c r="Y55" i="2"/>
  <c r="Y54" i="2"/>
  <c r="Y53" i="2"/>
  <c r="Y52" i="2"/>
  <c r="Y51" i="2"/>
  <c r="Y50" i="2"/>
  <c r="Y49" i="2"/>
  <c r="Y48" i="2"/>
  <c r="Y47" i="2"/>
  <c r="Y46" i="2"/>
  <c r="Y42" i="2"/>
  <c r="Y41" i="2"/>
  <c r="Y40" i="2"/>
  <c r="Y39" i="2"/>
  <c r="Y38" i="2"/>
  <c r="Y37" i="2"/>
  <c r="Y36" i="2"/>
  <c r="Y35" i="2"/>
  <c r="Y34" i="2"/>
  <c r="Y33" i="2"/>
  <c r="Y32" i="2"/>
  <c r="Y30" i="2"/>
  <c r="Y29" i="2"/>
  <c r="Y28" i="2"/>
  <c r="Y27" i="2"/>
  <c r="Y26" i="2"/>
  <c r="Y25" i="2"/>
  <c r="Y24" i="2"/>
  <c r="Y23" i="2"/>
  <c r="Y22" i="2"/>
  <c r="Y21" i="2"/>
  <c r="Y20" i="2"/>
  <c r="Y18" i="2"/>
  <c r="Y17" i="2"/>
  <c r="Y15" i="2"/>
  <c r="Y14" i="2"/>
  <c r="Y13" i="2"/>
  <c r="Y12" i="2"/>
  <c r="Y10" i="2"/>
  <c r="Y9" i="2"/>
  <c r="Y7" i="2"/>
  <c r="Y6" i="2"/>
  <c r="Y5" i="2"/>
  <c r="Y4" i="2"/>
  <c r="AD103" i="2"/>
  <c r="AD102" i="2"/>
  <c r="AD101" i="2"/>
  <c r="AD100" i="2"/>
  <c r="AD99" i="2"/>
  <c r="AD98" i="2"/>
  <c r="AD97" i="2"/>
  <c r="AD96" i="2"/>
  <c r="AD95" i="2"/>
  <c r="AD94" i="2"/>
  <c r="AD93" i="2"/>
  <c r="AD92" i="2"/>
  <c r="AD91" i="2"/>
  <c r="AD90" i="2"/>
  <c r="AD89" i="2"/>
  <c r="AD88" i="2"/>
  <c r="AD87" i="2"/>
  <c r="AD86" i="2"/>
  <c r="AD85" i="2"/>
  <c r="AD69" i="2"/>
  <c r="AD68" i="2"/>
  <c r="AD67" i="2"/>
  <c r="AD66" i="2"/>
  <c r="AD65" i="2"/>
  <c r="AD64" i="2"/>
  <c r="AD63" i="2"/>
  <c r="AD62" i="2"/>
  <c r="AD61" i="2"/>
  <c r="AD60" i="2"/>
  <c r="AD59" i="2"/>
  <c r="AD58" i="2"/>
  <c r="AD57" i="2"/>
  <c r="AD56" i="2"/>
  <c r="AD55" i="2"/>
  <c r="AD54" i="2"/>
  <c r="AD53" i="2"/>
  <c r="AD52" i="2"/>
  <c r="AD50" i="2"/>
  <c r="AD49" i="2"/>
  <c r="AD48" i="2"/>
  <c r="AD47" i="2"/>
  <c r="AD46" i="2"/>
  <c r="AD42" i="2"/>
  <c r="AD41" i="2"/>
  <c r="AD40" i="2"/>
  <c r="AD39" i="2"/>
  <c r="AD38" i="2"/>
  <c r="AD37" i="2"/>
  <c r="AD36" i="2"/>
  <c r="AD35" i="2"/>
  <c r="AD34" i="2"/>
  <c r="AD33" i="2"/>
  <c r="AD32" i="2"/>
  <c r="AD30" i="2"/>
  <c r="AD29" i="2"/>
  <c r="AD28" i="2"/>
  <c r="AD27" i="2"/>
  <c r="AD26" i="2"/>
  <c r="AD25" i="2"/>
  <c r="AD24" i="2"/>
  <c r="AD23" i="2"/>
  <c r="AD22" i="2"/>
  <c r="AD21" i="2"/>
  <c r="AD20" i="2"/>
  <c r="AD18" i="2"/>
  <c r="AD17" i="2"/>
  <c r="AD14" i="2"/>
  <c r="AD13" i="2"/>
  <c r="AD12" i="2"/>
  <c r="AD10" i="2"/>
  <c r="AD9" i="2"/>
  <c r="AD8" i="2"/>
  <c r="AD7" i="2"/>
  <c r="AD6" i="2"/>
  <c r="AD5" i="2"/>
  <c r="AD4" i="2"/>
  <c r="AI103" i="2"/>
  <c r="AI102" i="2"/>
  <c r="AI101" i="2"/>
  <c r="AI100" i="2"/>
  <c r="AI99" i="2"/>
  <c r="AI98" i="2"/>
  <c r="AI97" i="2"/>
  <c r="AI96" i="2"/>
  <c r="AI95" i="2"/>
  <c r="AI94" i="2"/>
  <c r="AI93" i="2"/>
  <c r="AI92" i="2"/>
  <c r="AI91" i="2"/>
  <c r="AI90" i="2"/>
  <c r="AI89" i="2"/>
  <c r="AI88" i="2"/>
  <c r="AI87" i="2"/>
  <c r="AI86" i="2"/>
  <c r="AI85" i="2"/>
  <c r="AI84" i="2"/>
  <c r="AI83" i="2"/>
  <c r="AI82" i="2"/>
  <c r="AI80" i="2"/>
  <c r="AI79" i="2"/>
  <c r="AI78" i="2"/>
  <c r="AI77" i="2"/>
  <c r="AI76" i="2"/>
  <c r="AI75" i="2"/>
  <c r="AI74" i="2"/>
  <c r="AI73" i="2"/>
  <c r="AI72" i="2"/>
  <c r="AI71" i="2"/>
  <c r="AI70" i="2"/>
  <c r="AI69" i="2"/>
  <c r="AI68" i="2"/>
  <c r="AI67" i="2"/>
  <c r="AI66" i="2"/>
  <c r="AI65" i="2"/>
  <c r="AI64" i="2"/>
  <c r="AI63" i="2"/>
  <c r="AI62" i="2"/>
  <c r="AI61" i="2"/>
  <c r="AI60" i="2"/>
  <c r="AI59" i="2"/>
  <c r="AI58" i="2"/>
  <c r="AI57" i="2"/>
  <c r="AI56" i="2"/>
  <c r="AI55" i="2"/>
  <c r="AI54" i="2"/>
  <c r="AI53" i="2"/>
  <c r="AI52" i="2"/>
  <c r="AI51" i="2"/>
  <c r="AI50" i="2"/>
  <c r="AI49" i="2"/>
  <c r="AI48" i="2"/>
  <c r="AI47" i="2"/>
  <c r="AI46" i="2"/>
  <c r="AI42" i="2"/>
  <c r="AI41" i="2"/>
  <c r="AI40" i="2"/>
  <c r="AI39" i="2"/>
  <c r="AI38" i="2"/>
  <c r="AI37" i="2"/>
  <c r="AI36" i="2"/>
  <c r="AI35" i="2"/>
  <c r="AI34" i="2"/>
  <c r="AI33" i="2"/>
  <c r="AI32" i="2"/>
  <c r="AI31" i="2"/>
  <c r="AI30" i="2"/>
  <c r="AI29" i="2"/>
  <c r="AI28" i="2"/>
  <c r="AI27" i="2"/>
  <c r="AI26" i="2"/>
  <c r="AI25" i="2"/>
  <c r="AI24" i="2"/>
  <c r="AI23" i="2"/>
  <c r="AI22" i="2"/>
  <c r="AI21" i="2"/>
  <c r="AI20" i="2"/>
  <c r="AI18" i="2"/>
  <c r="AI17" i="2"/>
  <c r="AI15" i="2"/>
  <c r="AI14" i="2"/>
  <c r="AI13" i="2"/>
  <c r="AI12" i="2"/>
  <c r="AI10" i="2"/>
  <c r="AI9" i="2"/>
  <c r="AI8" i="2"/>
  <c r="AI7" i="2"/>
  <c r="AI6" i="2"/>
  <c r="AI5" i="2"/>
  <c r="AI4" i="2"/>
  <c r="AN103" i="2"/>
  <c r="AN102" i="2"/>
  <c r="AN101" i="2"/>
  <c r="AN100" i="2"/>
  <c r="AN99" i="2"/>
  <c r="AN98" i="2"/>
  <c r="AN97" i="2"/>
  <c r="AN96"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70" i="2"/>
  <c r="AN69" i="2"/>
  <c r="AN68" i="2"/>
  <c r="AN67" i="2"/>
  <c r="AN66" i="2"/>
  <c r="AN65" i="2"/>
  <c r="AN64" i="2"/>
  <c r="AN63" i="2"/>
  <c r="AN62" i="2"/>
  <c r="AN61" i="2"/>
  <c r="AN60" i="2"/>
  <c r="AN59" i="2"/>
  <c r="AN58" i="2"/>
  <c r="AN57" i="2"/>
  <c r="AN56" i="2"/>
  <c r="AN55" i="2"/>
  <c r="AN54" i="2"/>
  <c r="AN53" i="2"/>
  <c r="AN52" i="2"/>
  <c r="AN51" i="2"/>
  <c r="AN50" i="2"/>
  <c r="AN49" i="2"/>
  <c r="AN48" i="2"/>
  <c r="AN47" i="2"/>
  <c r="AN46" i="2"/>
  <c r="AN42" i="2"/>
  <c r="AN41" i="2"/>
  <c r="AN40" i="2"/>
  <c r="AN39" i="2"/>
  <c r="AN38" i="2"/>
  <c r="AN37" i="2"/>
  <c r="AN36" i="2"/>
  <c r="AN35" i="2"/>
  <c r="AN34" i="2"/>
  <c r="AN33" i="2"/>
  <c r="AN32" i="2"/>
  <c r="AN31" i="2"/>
  <c r="AN30" i="2"/>
  <c r="AN29" i="2"/>
  <c r="AN28" i="2"/>
  <c r="AN27" i="2"/>
  <c r="AN26" i="2"/>
  <c r="AN25" i="2"/>
  <c r="AN24" i="2"/>
  <c r="AN23" i="2"/>
  <c r="AN22" i="2"/>
  <c r="AN21" i="2"/>
  <c r="AN20" i="2"/>
  <c r="AN18" i="2"/>
  <c r="AN17" i="2"/>
  <c r="AN14" i="2"/>
  <c r="AN13" i="2"/>
  <c r="AN12" i="2"/>
  <c r="AN10" i="2"/>
  <c r="AN9" i="2"/>
  <c r="AN8" i="2"/>
  <c r="AN7" i="2"/>
  <c r="AN6" i="2"/>
  <c r="AN5" i="2"/>
  <c r="AN4" i="2"/>
  <c r="AA103" i="2"/>
  <c r="AA102" i="2"/>
  <c r="AA101" i="2"/>
  <c r="AA100" i="2"/>
  <c r="AA99" i="2"/>
  <c r="AA98" i="2"/>
  <c r="AA97" i="2"/>
  <c r="AA96" i="2"/>
  <c r="AA95" i="2"/>
  <c r="AA94" i="2"/>
  <c r="AA93" i="2"/>
  <c r="AA92" i="2"/>
  <c r="AA91" i="2"/>
  <c r="AA90" i="2"/>
  <c r="AA89" i="2"/>
  <c r="AA88" i="2"/>
  <c r="AA87" i="2"/>
  <c r="AA86" i="2"/>
  <c r="AA85" i="2"/>
  <c r="AA69" i="2"/>
  <c r="AA68" i="2"/>
  <c r="AA67" i="2"/>
  <c r="AA66" i="2"/>
  <c r="AA65" i="2"/>
  <c r="AA64" i="2"/>
  <c r="AA63" i="2"/>
  <c r="AA62" i="2"/>
  <c r="AA61" i="2"/>
  <c r="AA60" i="2"/>
  <c r="AA59" i="2"/>
  <c r="AA58" i="2"/>
  <c r="AA57" i="2"/>
  <c r="AA56" i="2"/>
  <c r="AA55" i="2"/>
  <c r="AA54" i="2"/>
  <c r="AA53" i="2"/>
  <c r="AA52" i="2"/>
  <c r="AA51" i="2"/>
  <c r="AA50" i="2"/>
  <c r="AA49" i="2"/>
  <c r="AA48" i="2"/>
  <c r="AA47" i="2"/>
  <c r="AA46" i="2"/>
  <c r="AA42" i="2"/>
  <c r="AA41" i="2"/>
  <c r="AA40" i="2"/>
  <c r="AA39" i="2"/>
  <c r="AA38" i="2"/>
  <c r="AA37" i="2"/>
  <c r="AA36" i="2"/>
  <c r="AA35" i="2"/>
  <c r="AA34" i="2"/>
  <c r="AA33" i="2"/>
  <c r="AA32" i="2"/>
  <c r="AA30" i="2"/>
  <c r="AA29" i="2"/>
  <c r="AA28" i="2"/>
  <c r="AA27" i="2"/>
  <c r="AA26" i="2"/>
  <c r="AA25" i="2"/>
  <c r="AA24" i="2"/>
  <c r="AA23" i="2"/>
  <c r="AA22" i="2"/>
  <c r="AA21" i="2"/>
  <c r="AA20" i="2"/>
  <c r="AA18" i="2"/>
  <c r="AA17" i="2"/>
  <c r="AA15" i="2"/>
  <c r="AA14" i="2"/>
  <c r="AA13" i="2"/>
  <c r="AA12" i="2"/>
  <c r="AA10" i="2"/>
  <c r="AA9" i="2"/>
  <c r="AA8" i="2"/>
  <c r="AA7" i="2"/>
  <c r="AA6" i="2"/>
  <c r="AA5" i="2"/>
  <c r="AA4" i="2"/>
  <c r="AF103" i="2"/>
  <c r="AF102" i="2"/>
  <c r="AF101" i="2"/>
  <c r="AF100" i="2"/>
  <c r="AF99" i="2"/>
  <c r="AF98" i="2"/>
  <c r="AF97" i="2"/>
  <c r="AF96" i="2"/>
  <c r="AF95" i="2"/>
  <c r="AF94" i="2"/>
  <c r="AF93" i="2"/>
  <c r="AF92" i="2"/>
  <c r="AF91" i="2"/>
  <c r="AF90" i="2"/>
  <c r="AF89" i="2"/>
  <c r="AF88" i="2"/>
  <c r="AF87" i="2"/>
  <c r="AF86" i="2"/>
  <c r="AF85" i="2"/>
  <c r="AF69" i="2"/>
  <c r="AF68" i="2"/>
  <c r="AF67" i="2"/>
  <c r="AF66" i="2"/>
  <c r="AF65" i="2"/>
  <c r="AF64" i="2"/>
  <c r="AF63" i="2"/>
  <c r="AF62" i="2"/>
  <c r="AF61" i="2"/>
  <c r="AF60" i="2"/>
  <c r="AF59" i="2"/>
  <c r="AF58" i="2"/>
  <c r="AF57" i="2"/>
  <c r="AF56" i="2"/>
  <c r="AF55" i="2"/>
  <c r="AF54" i="2"/>
  <c r="AF53" i="2"/>
  <c r="AF52" i="2"/>
  <c r="AF51" i="2"/>
  <c r="AF50" i="2"/>
  <c r="AF49" i="2"/>
  <c r="AF48" i="2"/>
  <c r="AF47" i="2"/>
  <c r="AF46" i="2"/>
  <c r="AF42" i="2"/>
  <c r="AF41" i="2"/>
  <c r="AF40" i="2"/>
  <c r="AF39" i="2"/>
  <c r="AF38" i="2"/>
  <c r="AF37" i="2"/>
  <c r="AF36" i="2"/>
  <c r="AF35" i="2"/>
  <c r="AF34" i="2"/>
  <c r="AF33" i="2"/>
  <c r="AF32" i="2"/>
  <c r="AF31" i="2"/>
  <c r="AF30" i="2"/>
  <c r="AF29" i="2"/>
  <c r="AF28" i="2"/>
  <c r="AF27" i="2"/>
  <c r="AF26" i="2"/>
  <c r="AF25" i="2"/>
  <c r="AF24" i="2"/>
  <c r="AF23" i="2"/>
  <c r="AF22" i="2"/>
  <c r="AF21" i="2"/>
  <c r="AF20" i="2"/>
  <c r="AF18" i="2"/>
  <c r="AF17" i="2"/>
  <c r="AF15" i="2"/>
  <c r="AF14" i="2"/>
  <c r="AF13" i="2"/>
  <c r="AF12" i="2"/>
  <c r="AF10" i="2"/>
  <c r="AF9" i="2"/>
  <c r="AF8" i="2"/>
  <c r="AF7" i="2"/>
  <c r="AF6" i="2"/>
  <c r="AF5" i="2"/>
  <c r="AF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2" i="2"/>
  <c r="AP41" i="2"/>
  <c r="AP40" i="2"/>
  <c r="AP39" i="2"/>
  <c r="AP38" i="2"/>
  <c r="AP37" i="2"/>
  <c r="AP36" i="2"/>
  <c r="AP35" i="2"/>
  <c r="AP34" i="2"/>
  <c r="AP33" i="2"/>
  <c r="AP32" i="2"/>
  <c r="AP31" i="2"/>
  <c r="AP30" i="2"/>
  <c r="AP29" i="2"/>
  <c r="AP28" i="2"/>
  <c r="AP27" i="2"/>
  <c r="AP26" i="2"/>
  <c r="AP25" i="2"/>
  <c r="AP24" i="2"/>
  <c r="AP23" i="2"/>
  <c r="AP22" i="2"/>
  <c r="AP21" i="2"/>
  <c r="AP20" i="2"/>
  <c r="AP18" i="2"/>
  <c r="AP17" i="2"/>
  <c r="AP14" i="2"/>
  <c r="AP13" i="2"/>
  <c r="AP12" i="2"/>
  <c r="AP10" i="2"/>
  <c r="AP9" i="2"/>
  <c r="AP8" i="2"/>
  <c r="AP7" i="2"/>
  <c r="AP6" i="2"/>
  <c r="AP5" i="2"/>
  <c r="AP4" i="2"/>
  <c r="AS6" i="2"/>
  <c r="AS7" i="2"/>
  <c r="AS8" i="2"/>
  <c r="AS9" i="2"/>
  <c r="AS10" i="2"/>
  <c r="AS12" i="2"/>
  <c r="AS13" i="2"/>
  <c r="AS14" i="2"/>
  <c r="AS15" i="2"/>
  <c r="AS17" i="2"/>
  <c r="AS18" i="2"/>
  <c r="AS20" i="2"/>
  <c r="AS21" i="2"/>
  <c r="AS22" i="2"/>
  <c r="AS23" i="2"/>
  <c r="AS24" i="2"/>
  <c r="AS25" i="2"/>
  <c r="AS26" i="2"/>
  <c r="AS27" i="2"/>
  <c r="AS28" i="2"/>
  <c r="AS29" i="2"/>
  <c r="AS30" i="2"/>
  <c r="AS31" i="2"/>
  <c r="AS32" i="2"/>
  <c r="AS33" i="2"/>
  <c r="AS34" i="2"/>
  <c r="AS35" i="2"/>
  <c r="AS36" i="2"/>
  <c r="AS37" i="2"/>
  <c r="AS38" i="2"/>
  <c r="AS39" i="2"/>
  <c r="AS40" i="2"/>
  <c r="AS41" i="2"/>
  <c r="AS42" i="2"/>
  <c r="AS46" i="2"/>
  <c r="AS53" i="2"/>
  <c r="AS54" i="2"/>
  <c r="AS55" i="2"/>
  <c r="AS56" i="2"/>
  <c r="AS57" i="2"/>
  <c r="AS58" i="2"/>
  <c r="AS59" i="2"/>
  <c r="AS60" i="2"/>
  <c r="AS61" i="2"/>
  <c r="AS62" i="2"/>
  <c r="AS63" i="2"/>
  <c r="AS64" i="2"/>
  <c r="AS65" i="2"/>
  <c r="AS66" i="2"/>
  <c r="AS67" i="2"/>
  <c r="AS68" i="2"/>
  <c r="AS69" i="2"/>
  <c r="AS70" i="2"/>
  <c r="AS71" i="2"/>
  <c r="AS73" i="2"/>
  <c r="AS74" i="2"/>
  <c r="AS77" i="2"/>
  <c r="AS78" i="2"/>
  <c r="AS80" i="2"/>
  <c r="AS81" i="2"/>
  <c r="AS83" i="2"/>
  <c r="AS84" i="2"/>
  <c r="AS85" i="2"/>
  <c r="AS86" i="2"/>
  <c r="AS87" i="2"/>
  <c r="AS88" i="2"/>
  <c r="AS89" i="2"/>
  <c r="AS90" i="2"/>
  <c r="AS91" i="2"/>
  <c r="AS92" i="2"/>
  <c r="AS93" i="2"/>
  <c r="AS94" i="2"/>
  <c r="AS95" i="2"/>
  <c r="AS96" i="2"/>
  <c r="AS97" i="2"/>
  <c r="AS98" i="2"/>
  <c r="AS99" i="2"/>
  <c r="AS100" i="2"/>
  <c r="AS101" i="2"/>
  <c r="AS102" i="2"/>
  <c r="AS103" i="2"/>
  <c r="AS4" i="2"/>
  <c r="AU6" i="2"/>
  <c r="AU7" i="2"/>
  <c r="AU8" i="2"/>
  <c r="AU9" i="2"/>
  <c r="AU10" i="2"/>
  <c r="AU12" i="2"/>
  <c r="AU13" i="2"/>
  <c r="AU14" i="2"/>
  <c r="AU15" i="2"/>
  <c r="AU17" i="2"/>
  <c r="AU18" i="2"/>
  <c r="AU20" i="2"/>
  <c r="AU21" i="2"/>
  <c r="AU22" i="2"/>
  <c r="AU23" i="2"/>
  <c r="AU24" i="2"/>
  <c r="AU25" i="2"/>
  <c r="AU26" i="2"/>
  <c r="AU27" i="2"/>
  <c r="AU28" i="2"/>
  <c r="AU29" i="2"/>
  <c r="AU30" i="2"/>
  <c r="AU31" i="2"/>
  <c r="AU32" i="2"/>
  <c r="AU33" i="2"/>
  <c r="AU34" i="2"/>
  <c r="AU35" i="2"/>
  <c r="AU36" i="2"/>
  <c r="AU37" i="2"/>
  <c r="AU38" i="2"/>
  <c r="AU39" i="2"/>
  <c r="AU40" i="2"/>
  <c r="AU41" i="2"/>
  <c r="AU42" i="2"/>
  <c r="AU46" i="2"/>
  <c r="AU53" i="2"/>
  <c r="AU54" i="2"/>
  <c r="AU55" i="2"/>
  <c r="AU56" i="2"/>
  <c r="AU57" i="2"/>
  <c r="AU58" i="2"/>
  <c r="AU59" i="2"/>
  <c r="AU60" i="2"/>
  <c r="AU61" i="2"/>
  <c r="AU63" i="2"/>
  <c r="AU64" i="2"/>
  <c r="AU65" i="2"/>
  <c r="AU66" i="2"/>
  <c r="AU67" i="2"/>
  <c r="AU68" i="2"/>
  <c r="AU69" i="2"/>
  <c r="AU70" i="2"/>
  <c r="AU71" i="2"/>
  <c r="AU73" i="2"/>
  <c r="AU74" i="2"/>
  <c r="AU77" i="2"/>
  <c r="AU78" i="2"/>
  <c r="AU80" i="2"/>
  <c r="AU81" i="2"/>
  <c r="AU83" i="2"/>
  <c r="AU84" i="2"/>
  <c r="AU85" i="2"/>
  <c r="AU86" i="2"/>
  <c r="AU87" i="2"/>
  <c r="AU88" i="2"/>
  <c r="AU89" i="2"/>
  <c r="AU90" i="2"/>
  <c r="AU91" i="2"/>
  <c r="AU92" i="2"/>
  <c r="AU93" i="2"/>
  <c r="AU94" i="2"/>
  <c r="AU95" i="2"/>
  <c r="AU96" i="2"/>
  <c r="AU97" i="2"/>
  <c r="AU98" i="2"/>
  <c r="AU99" i="2"/>
  <c r="AU100" i="2"/>
  <c r="AU101" i="2"/>
  <c r="AU102" i="2"/>
  <c r="AU103" i="2"/>
  <c r="AU4" i="2"/>
  <c r="I15" i="5"/>
  <c r="J15" i="5"/>
  <c r="BY106" i="2"/>
  <c r="BW106" i="2"/>
  <c r="BV106" i="2"/>
  <c r="BT106" i="2"/>
  <c r="BR106" i="2"/>
  <c r="BQ106" i="2"/>
  <c r="BO106" i="2"/>
  <c r="BM106" i="2"/>
  <c r="BL106" i="2"/>
  <c r="BJ106" i="2"/>
  <c r="BH106" i="2"/>
  <c r="BE106" i="2"/>
  <c r="BC106" i="2"/>
  <c r="BB106" i="2"/>
  <c r="BY105" i="2"/>
  <c r="BW105" i="2"/>
  <c r="BV105" i="2"/>
  <c r="BT105" i="2"/>
  <c r="BR105" i="2"/>
  <c r="BQ105" i="2"/>
  <c r="BO105" i="2"/>
  <c r="BM105" i="2"/>
  <c r="BL105" i="2"/>
  <c r="BJ105" i="2"/>
  <c r="BH105" i="2"/>
  <c r="BG105" i="2"/>
  <c r="BE105" i="2"/>
  <c r="BC105" i="2"/>
  <c r="BB105" i="2"/>
  <c r="BY104" i="2"/>
  <c r="BW104" i="2"/>
  <c r="BV104" i="2"/>
  <c r="BT104" i="2"/>
  <c r="BR104" i="2"/>
  <c r="BQ104" i="2"/>
  <c r="BO104" i="2"/>
  <c r="BM104" i="2"/>
  <c r="BL104" i="2"/>
  <c r="BJ104" i="2"/>
  <c r="BH104" i="2"/>
  <c r="BG104" i="2"/>
  <c r="BE104" i="2"/>
  <c r="BC104" i="2"/>
  <c r="BB104" i="2"/>
  <c r="F1931" i="4"/>
  <c r="F1930" i="4"/>
  <c r="F1929" i="4"/>
  <c r="F1928" i="4"/>
  <c r="F1927" i="4"/>
  <c r="H1927" i="4" s="1"/>
  <c r="C1922" i="4"/>
  <c r="C1923" i="4" s="1"/>
  <c r="C1924" i="4" s="1"/>
  <c r="C1925" i="4" s="1"/>
  <c r="C1926" i="4" s="1"/>
  <c r="C1927" i="4" s="1"/>
  <c r="C1928" i="4" s="1"/>
  <c r="C1929" i="4" s="1"/>
  <c r="C1930" i="4" s="1"/>
  <c r="C1931" i="4" s="1"/>
  <c r="F1913" i="4"/>
  <c r="H1913" i="4" s="1"/>
  <c r="BZ105" i="2" s="1"/>
  <c r="F1912" i="4"/>
  <c r="H1912" i="4" s="1"/>
  <c r="BU105" i="2" s="1"/>
  <c r="F1911" i="4"/>
  <c r="H1911" i="4" s="1"/>
  <c r="BP105" i="2" s="1"/>
  <c r="F1910" i="4"/>
  <c r="BI105" i="2" s="1"/>
  <c r="F1909" i="4"/>
  <c r="H1909" i="4" s="1"/>
  <c r="C1902" i="4"/>
  <c r="C1903" i="4" s="1"/>
  <c r="C1904" i="4" s="1"/>
  <c r="C1905" i="4" s="1"/>
  <c r="C1906" i="4" s="1"/>
  <c r="C1907" i="4" s="1"/>
  <c r="C1908" i="4" s="1"/>
  <c r="C1909" i="4" s="1"/>
  <c r="C1910" i="4" s="1"/>
  <c r="C1911" i="4" s="1"/>
  <c r="C1912" i="4" s="1"/>
  <c r="C1913" i="4" s="1"/>
  <c r="F1895" i="4"/>
  <c r="H1895" i="4" s="1"/>
  <c r="BZ104" i="2" s="1"/>
  <c r="F1894" i="4"/>
  <c r="H1894" i="4" s="1"/>
  <c r="BU104" i="2" s="1"/>
  <c r="F1893" i="4"/>
  <c r="BN104" i="2" s="1"/>
  <c r="F1892" i="4"/>
  <c r="BI104" i="2" s="1"/>
  <c r="F1891" i="4"/>
  <c r="H1891" i="4" s="1"/>
  <c r="C1884" i="4"/>
  <c r="C1885" i="4" s="1"/>
  <c r="C1886" i="4" s="1"/>
  <c r="C1887" i="4" s="1"/>
  <c r="C1888" i="4" s="1"/>
  <c r="C1889" i="4" s="1"/>
  <c r="C1890" i="4" s="1"/>
  <c r="C1891" i="4" s="1"/>
  <c r="C1892" i="4" s="1"/>
  <c r="C1893" i="4" s="1"/>
  <c r="C1894" i="4" s="1"/>
  <c r="C1895" i="4" s="1"/>
  <c r="D731" i="4" l="1"/>
  <c r="D734" i="4"/>
  <c r="D733" i="4"/>
  <c r="D732" i="4"/>
  <c r="D730" i="4"/>
  <c r="D735" i="4"/>
  <c r="D752" i="4"/>
  <c r="D748" i="4"/>
  <c r="N1629" i="4"/>
  <c r="D750" i="4"/>
  <c r="AI10" i="3"/>
  <c r="S909" i="4"/>
  <c r="AE831" i="4"/>
  <c r="AF831" i="4" s="1"/>
  <c r="AC51" i="3"/>
  <c r="Q798" i="4"/>
  <c r="AR51" i="3"/>
  <c r="Q801" i="4"/>
  <c r="E1393" i="4"/>
  <c r="S907" i="4"/>
  <c r="S927" i="4"/>
  <c r="AE832" i="4"/>
  <c r="AF832" i="4" s="1"/>
  <c r="AA828" i="4"/>
  <c r="AC828" i="4" s="1"/>
  <c r="AE828" i="4"/>
  <c r="AA834" i="4"/>
  <c r="AB834" i="4" s="1"/>
  <c r="AA831" i="4"/>
  <c r="AB831" i="4" s="1"/>
  <c r="AG837" i="4"/>
  <c r="AH837" i="4" s="1"/>
  <c r="S1017" i="4"/>
  <c r="AA832" i="4"/>
  <c r="AB832" i="4" s="1"/>
  <c r="AA837" i="4"/>
  <c r="AB837" i="4" s="1"/>
  <c r="Q1017" i="4"/>
  <c r="AR47" i="3"/>
  <c r="AR50" i="3"/>
  <c r="H1929" i="4"/>
  <c r="H1930" i="4"/>
  <c r="BI106" i="2"/>
  <c r="H1931" i="4"/>
  <c r="BS105" i="2"/>
  <c r="E119" i="4"/>
  <c r="AI9" i="3" s="1"/>
  <c r="AJ9" i="3"/>
  <c r="BF106" i="2"/>
  <c r="BF105" i="2"/>
  <c r="G1393" i="4"/>
  <c r="BF104" i="2"/>
  <c r="E1413" i="4"/>
  <c r="E1395" i="4"/>
  <c r="AV115" i="2"/>
  <c r="H363" i="4"/>
  <c r="AV25" i="3" s="1"/>
  <c r="G1395" i="4"/>
  <c r="E1503" i="4"/>
  <c r="BN106" i="2"/>
  <c r="G1503" i="4"/>
  <c r="AS82" i="2"/>
  <c r="G1413" i="4"/>
  <c r="AU48" i="2"/>
  <c r="H747" i="4"/>
  <c r="AV48" i="3" s="1"/>
  <c r="H1928" i="4"/>
  <c r="BX104" i="2"/>
  <c r="AU75" i="2"/>
  <c r="AS49" i="2"/>
  <c r="AS5" i="2"/>
  <c r="D363" i="4"/>
  <c r="AR25" i="3" s="1"/>
  <c r="AS48" i="2"/>
  <c r="F747" i="4"/>
  <c r="AT48" i="3" s="1"/>
  <c r="AU51" i="2"/>
  <c r="H801" i="4"/>
  <c r="AV51" i="3" s="1"/>
  <c r="AU79" i="2"/>
  <c r="F1449" i="4"/>
  <c r="AS47" i="2"/>
  <c r="H1892" i="4"/>
  <c r="BK104" i="2" s="1"/>
  <c r="H1910" i="4"/>
  <c r="BK105" i="2" s="1"/>
  <c r="BD105" i="2"/>
  <c r="BX105" i="2"/>
  <c r="BS106" i="2"/>
  <c r="H1893" i="4"/>
  <c r="BP104" i="2" s="1"/>
  <c r="BS104" i="2"/>
  <c r="BN105" i="2"/>
  <c r="BD106" i="2"/>
  <c r="BX106" i="2"/>
  <c r="BD104" i="2"/>
  <c r="AU52" i="2"/>
  <c r="AU47" i="2"/>
  <c r="AS50" i="2"/>
  <c r="AU76" i="2"/>
  <c r="AS51" i="2"/>
  <c r="AS75" i="2"/>
  <c r="AU49" i="2"/>
  <c r="AS52" i="2"/>
  <c r="AU82" i="2"/>
  <c r="AS72" i="2"/>
  <c r="AU50" i="2"/>
  <c r="AU72" i="2"/>
  <c r="AS76" i="2"/>
  <c r="AU5" i="2"/>
  <c r="AS79" i="2"/>
  <c r="BW31" i="2"/>
  <c r="BV31" i="2"/>
  <c r="BR31" i="2"/>
  <c r="BQ31" i="2"/>
  <c r="BM31" i="2"/>
  <c r="BL31" i="2"/>
  <c r="BH31" i="2"/>
  <c r="BG31" i="2"/>
  <c r="BC31" i="2"/>
  <c r="BB31" i="2"/>
  <c r="BW30" i="2"/>
  <c r="BV30" i="2"/>
  <c r="BR30" i="2"/>
  <c r="BQ30" i="2"/>
  <c r="BM30" i="2"/>
  <c r="BL30" i="2"/>
  <c r="BH30" i="2"/>
  <c r="BG30" i="2"/>
  <c r="BC30" i="2"/>
  <c r="BB30" i="2"/>
  <c r="AG831" i="4" l="1"/>
  <c r="AH831" i="4" s="1"/>
  <c r="AG832" i="4"/>
  <c r="AH832" i="4" s="1"/>
  <c r="E1449" i="4"/>
  <c r="S963" i="4"/>
  <c r="AE834" i="4"/>
  <c r="AF834" i="4" s="1"/>
  <c r="AF828" i="4"/>
  <c r="AC831" i="4"/>
  <c r="AD831" i="4" s="1"/>
  <c r="AC837" i="4"/>
  <c r="AD837" i="4" s="1"/>
  <c r="AC834" i="4"/>
  <c r="AD834" i="4" s="1"/>
  <c r="AG828" i="4"/>
  <c r="AC832" i="4"/>
  <c r="AB828" i="4"/>
  <c r="AD828" i="4" s="1"/>
  <c r="AA842" i="4"/>
  <c r="BZ106" i="2"/>
  <c r="BK106" i="2"/>
  <c r="BU106" i="2"/>
  <c r="BP106" i="2"/>
  <c r="CB104" i="2"/>
  <c r="CD104" i="2" s="1"/>
  <c r="K1931" i="4"/>
  <c r="CB105" i="2"/>
  <c r="CD105" i="2" s="1"/>
  <c r="K1913" i="4"/>
  <c r="K1895" i="4"/>
  <c r="G1449" i="4"/>
  <c r="BG16" i="2"/>
  <c r="BJ16" i="2"/>
  <c r="BL16" i="2"/>
  <c r="BO16" i="2"/>
  <c r="BQ16" i="2"/>
  <c r="BT16" i="2"/>
  <c r="BV16" i="2"/>
  <c r="BY16" i="2"/>
  <c r="BE16" i="2"/>
  <c r="BB16" i="2"/>
  <c r="AE842" i="4" l="1"/>
  <c r="AH828" i="4"/>
  <c r="AG834" i="4"/>
  <c r="AH834" i="4" s="1"/>
  <c r="AD832" i="4"/>
  <c r="CB106" i="2"/>
  <c r="CD106" i="2" s="1"/>
  <c r="C152" i="4" l="1"/>
  <c r="C153" i="4" s="1"/>
  <c r="C154" i="4" s="1"/>
  <c r="C155" i="4" s="1"/>
  <c r="C156" i="4" s="1"/>
  <c r="C157" i="4" s="1"/>
  <c r="C158" i="4" s="1"/>
  <c r="C159" i="4" s="1"/>
  <c r="C160" i="4" s="1"/>
  <c r="C161" i="4" s="1"/>
  <c r="C162" i="4" s="1"/>
  <c r="C163" i="4" s="1"/>
  <c r="BY11" i="2"/>
  <c r="BV11" i="2"/>
  <c r="BT11" i="2"/>
  <c r="BQ11" i="2"/>
  <c r="BO11" i="2"/>
  <c r="BL11" i="2"/>
  <c r="BJ11" i="2"/>
  <c r="BG11" i="2"/>
  <c r="BE11" i="2"/>
  <c r="C62" i="4"/>
  <c r="C63" i="4" l="1"/>
  <c r="C64" i="4" s="1"/>
  <c r="C65" i="4"/>
  <c r="C66" i="4" l="1"/>
  <c r="C67" i="4" l="1"/>
  <c r="B20" i="5"/>
  <c r="L5" i="5" s="1"/>
  <c r="BF116" i="2" s="1"/>
  <c r="F507" i="4"/>
  <c r="BD30" i="2" s="1"/>
  <c r="F508" i="4"/>
  <c r="BI30" i="2" s="1"/>
  <c r="F509" i="4"/>
  <c r="BN30" i="2" s="1"/>
  <c r="F510" i="4"/>
  <c r="BS30" i="2" s="1"/>
  <c r="F511" i="4"/>
  <c r="BX30" i="2" s="1"/>
  <c r="F525" i="4"/>
  <c r="BD31" i="2" s="1"/>
  <c r="F526" i="4"/>
  <c r="BI31" i="2" s="1"/>
  <c r="F527" i="4"/>
  <c r="BN31" i="2" s="1"/>
  <c r="F528" i="4"/>
  <c r="BS31" i="2" s="1"/>
  <c r="F529" i="4"/>
  <c r="BX31" i="2" s="1"/>
  <c r="AA18" i="6"/>
  <c r="G507" i="4" s="1"/>
  <c r="BE30" i="2" s="1"/>
  <c r="G992" i="4"/>
  <c r="E311" i="4"/>
  <c r="C68" i="4" l="1"/>
  <c r="C69" i="4" s="1"/>
  <c r="C70" i="4" s="1"/>
  <c r="C71" i="4" s="1"/>
  <c r="C72" i="4" s="1"/>
  <c r="C73" i="4" s="1"/>
  <c r="B21" i="5"/>
  <c r="M5" i="5" s="1"/>
  <c r="E992" i="4"/>
  <c r="G311" i="4"/>
  <c r="BK116" i="2"/>
  <c r="M16" i="5"/>
  <c r="A16" i="4"/>
  <c r="G312" i="4"/>
  <c r="AA19" i="6"/>
  <c r="AA20" i="6" s="1"/>
  <c r="H507" i="4"/>
  <c r="BF30" i="2" s="1"/>
  <c r="G659" i="4"/>
  <c r="E991" i="4"/>
  <c r="G991" i="4"/>
  <c r="E312" i="4"/>
  <c r="A15" i="4"/>
  <c r="A213" i="4" l="1"/>
  <c r="A1963" i="4"/>
  <c r="A1999" i="4"/>
  <c r="A1981" i="4"/>
  <c r="A2017" i="4"/>
  <c r="A214" i="4"/>
  <c r="A2000" i="4"/>
  <c r="A2018" i="4"/>
  <c r="A1982" i="4"/>
  <c r="A1964" i="4"/>
  <c r="B1964" i="4" s="1"/>
  <c r="A286" i="4"/>
  <c r="A1820" i="4"/>
  <c r="A1838" i="4"/>
  <c r="A1856" i="4"/>
  <c r="A1855" i="4"/>
  <c r="A1837" i="4"/>
  <c r="A1819" i="4"/>
  <c r="A1945" i="4"/>
  <c r="A285" i="4"/>
  <c r="A70" i="4"/>
  <c r="A1946" i="4"/>
  <c r="A1784" i="4"/>
  <c r="A477" i="4"/>
  <c r="A1074" i="4"/>
  <c r="N1074" i="4" s="1"/>
  <c r="A1434" i="4"/>
  <c r="A1596" i="4"/>
  <c r="A858" i="4"/>
  <c r="N858" i="4" s="1"/>
  <c r="A1002" i="4"/>
  <c r="N1002" i="4" s="1"/>
  <c r="A160" i="4"/>
  <c r="A948" i="4"/>
  <c r="N948" i="4" s="1"/>
  <c r="A678" i="4"/>
  <c r="A1748" i="4"/>
  <c r="A804" i="4"/>
  <c r="N804" i="4" s="1"/>
  <c r="A1362" i="4"/>
  <c r="A441" i="4"/>
  <c r="A984" i="4"/>
  <c r="N984" i="4" s="1"/>
  <c r="A660" i="4"/>
  <c r="A912" i="4"/>
  <c r="N912" i="4" s="1"/>
  <c r="A624" i="4"/>
  <c r="A1470" i="4"/>
  <c r="A840" i="4"/>
  <c r="N840" i="4" s="1"/>
  <c r="A822" i="4"/>
  <c r="A606" i="4"/>
  <c r="B22" i="5"/>
  <c r="B23" i="5" s="1"/>
  <c r="A1614" i="4"/>
  <c r="N1614" i="4" s="1"/>
  <c r="A1164" i="4"/>
  <c r="A642" i="4"/>
  <c r="A142" i="4"/>
  <c r="A696" i="4"/>
  <c r="A1236" i="4"/>
  <c r="A1146" i="4"/>
  <c r="A1218" i="4"/>
  <c r="A1254" i="4"/>
  <c r="A423" i="4"/>
  <c r="A750" i="4"/>
  <c r="A588" i="4"/>
  <c r="A1874" i="4"/>
  <c r="A557" i="4"/>
  <c r="A526" i="4"/>
  <c r="A508" i="4"/>
  <c r="A1928" i="4"/>
  <c r="A1668" i="4"/>
  <c r="A178" i="4"/>
  <c r="A1398" i="4"/>
  <c r="A768" i="4"/>
  <c r="A250" i="4"/>
  <c r="A459" i="4"/>
  <c r="A1560" i="4"/>
  <c r="A232" i="4"/>
  <c r="A196" i="4"/>
  <c r="A322" i="4"/>
  <c r="A1632" i="4"/>
  <c r="AS826" i="4" s="1"/>
  <c r="A1910" i="4"/>
  <c r="A1730" i="4"/>
  <c r="A930" i="4"/>
  <c r="N930" i="4" s="1"/>
  <c r="A1506" i="4"/>
  <c r="A106" i="4"/>
  <c r="A268" i="4"/>
  <c r="A1766" i="4"/>
  <c r="A786" i="4"/>
  <c r="A1128" i="4"/>
  <c r="A304" i="4"/>
  <c r="A1488" i="4"/>
  <c r="A1038" i="4"/>
  <c r="N1038" i="4" s="1"/>
  <c r="A966" i="4"/>
  <c r="N966" i="4" s="1"/>
  <c r="A1578" i="4"/>
  <c r="A1344" i="4"/>
  <c r="A88" i="4"/>
  <c r="A52" i="4"/>
  <c r="A34" i="4"/>
  <c r="A1892" i="4"/>
  <c r="A1308" i="4"/>
  <c r="A1182" i="4"/>
  <c r="A1712" i="4"/>
  <c r="A1380" i="4"/>
  <c r="A124" i="4"/>
  <c r="A1802" i="4"/>
  <c r="A1650" i="4"/>
  <c r="A1200" i="4"/>
  <c r="A1290" i="4"/>
  <c r="A1110" i="4"/>
  <c r="A1326" i="4"/>
  <c r="A714" i="4"/>
  <c r="A1452" i="4"/>
  <c r="A1272" i="4"/>
  <c r="A1056" i="4"/>
  <c r="N1056" i="4" s="1"/>
  <c r="A1020" i="4"/>
  <c r="N1020" i="4" s="1"/>
  <c r="A1542" i="4"/>
  <c r="A1416" i="4"/>
  <c r="A876" i="4"/>
  <c r="N876" i="4" s="1"/>
  <c r="A1092" i="4"/>
  <c r="A366" i="4"/>
  <c r="A894" i="4"/>
  <c r="N894" i="4" s="1"/>
  <c r="A732" i="4"/>
  <c r="A1524" i="4"/>
  <c r="N5" i="5"/>
  <c r="G508" i="4"/>
  <c r="H508" i="4" s="1"/>
  <c r="BK30" i="2" s="1"/>
  <c r="BE38" i="2"/>
  <c r="A1909" i="4"/>
  <c r="A1927" i="4"/>
  <c r="A1891" i="4"/>
  <c r="A159" i="4"/>
  <c r="A69" i="4"/>
  <c r="G660" i="4"/>
  <c r="AA21" i="6"/>
  <c r="G509" i="4"/>
  <c r="A1729" i="4"/>
  <c r="A1559" i="4"/>
  <c r="A1415" i="4"/>
  <c r="A1271" i="4"/>
  <c r="A1127" i="4"/>
  <c r="A983" i="4"/>
  <c r="N983" i="4" s="1"/>
  <c r="A1873" i="4"/>
  <c r="A1783" i="4"/>
  <c r="A1577" i="4"/>
  <c r="A1397" i="4"/>
  <c r="A1199" i="4"/>
  <c r="A1001" i="4"/>
  <c r="N1001" i="4" s="1"/>
  <c r="A911" i="4"/>
  <c r="N911" i="4" s="1"/>
  <c r="A767" i="4"/>
  <c r="A623" i="4"/>
  <c r="A321" i="4"/>
  <c r="A123" i="4"/>
  <c r="A1747" i="4"/>
  <c r="A1523" i="4"/>
  <c r="A1361" i="4"/>
  <c r="A1325" i="4"/>
  <c r="A1163" i="4"/>
  <c r="A965" i="4"/>
  <c r="N965" i="4" s="1"/>
  <c r="A821" i="4"/>
  <c r="A677" i="4"/>
  <c r="A507" i="4"/>
  <c r="A440" i="4"/>
  <c r="A195" i="4"/>
  <c r="A1711" i="4"/>
  <c r="A1487" i="4"/>
  <c r="A1289" i="4"/>
  <c r="A1091" i="4"/>
  <c r="A875" i="4"/>
  <c r="N875" i="4" s="1"/>
  <c r="A731" i="4"/>
  <c r="A587" i="4"/>
  <c r="A267" i="4"/>
  <c r="A87" i="4"/>
  <c r="A1765" i="4"/>
  <c r="A1541" i="4"/>
  <c r="A1343" i="4"/>
  <c r="A1145" i="4"/>
  <c r="A893" i="4"/>
  <c r="N893" i="4" s="1"/>
  <c r="A749" i="4"/>
  <c r="A605" i="4"/>
  <c r="A303" i="4"/>
  <c r="A105" i="4"/>
  <c r="A1667" i="4"/>
  <c r="A1505" i="4"/>
  <c r="A1469" i="4"/>
  <c r="A1307" i="4"/>
  <c r="A1109" i="4"/>
  <c r="A947" i="4"/>
  <c r="N947" i="4" s="1"/>
  <c r="A803" i="4"/>
  <c r="N803" i="4" s="1"/>
  <c r="A659" i="4"/>
  <c r="A422" i="4"/>
  <c r="A177" i="4"/>
  <c r="B16" i="4"/>
  <c r="A857" i="4"/>
  <c r="N857" i="4" s="1"/>
  <c r="A556" i="4"/>
  <c r="A476" i="4"/>
  <c r="A51" i="4"/>
  <c r="A365" i="4"/>
  <c r="A525" i="4"/>
  <c r="A33" i="4"/>
  <c r="A1217" i="4"/>
  <c r="A713" i="4"/>
  <c r="A249" i="4"/>
  <c r="A1631" i="4"/>
  <c r="AP826" i="4" s="1"/>
  <c r="A1433" i="4"/>
  <c r="A1235" i="4"/>
  <c r="A1037" i="4"/>
  <c r="N1037" i="4" s="1"/>
  <c r="A785" i="4"/>
  <c r="A1613" i="4"/>
  <c r="N1613" i="4" s="1"/>
  <c r="A839" i="4"/>
  <c r="N839" i="4" s="1"/>
  <c r="A458" i="4"/>
  <c r="A1019" i="4"/>
  <c r="N1019" i="4" s="1"/>
  <c r="A1649" i="4"/>
  <c r="A641" i="4"/>
  <c r="A1379" i="4"/>
  <c r="A1055" i="4"/>
  <c r="N1055" i="4" s="1"/>
  <c r="A1451" i="4"/>
  <c r="A1181" i="4"/>
  <c r="A929" i="4"/>
  <c r="N929" i="4" s="1"/>
  <c r="A695" i="4"/>
  <c r="A1801" i="4"/>
  <c r="A1253" i="4"/>
  <c r="A231" i="4"/>
  <c r="A1595" i="4"/>
  <c r="A1073" i="4"/>
  <c r="N1073" i="4" s="1"/>
  <c r="A141" i="4"/>
  <c r="L16" i="5"/>
  <c r="CI15" i="6"/>
  <c r="CJ15" i="6"/>
  <c r="CG15" i="6"/>
  <c r="CH15" i="6"/>
  <c r="CD15" i="6"/>
  <c r="CE15" i="6"/>
  <c r="CF15" i="6"/>
  <c r="CB15" i="6"/>
  <c r="CC15" i="6"/>
  <c r="BZ15" i="6"/>
  <c r="CA15" i="6"/>
  <c r="BY15" i="6"/>
  <c r="BX15" i="6"/>
  <c r="BV15" i="6"/>
  <c r="BW15" i="6"/>
  <c r="BT15" i="6"/>
  <c r="BU15" i="6"/>
  <c r="BR15" i="6"/>
  <c r="BS15" i="6"/>
  <c r="BP15" i="6"/>
  <c r="BQ15" i="6"/>
  <c r="BN15" i="6"/>
  <c r="BO15" i="6"/>
  <c r="BM15" i="6"/>
  <c r="BK15" i="6"/>
  <c r="BH15" i="6"/>
  <c r="BI15" i="6"/>
  <c r="BJ15" i="6"/>
  <c r="BE15" i="6"/>
  <c r="BF15" i="6"/>
  <c r="BG15" i="6"/>
  <c r="BB15" i="6"/>
  <c r="BC15" i="6"/>
  <c r="BD15" i="6"/>
  <c r="AY15" i="6"/>
  <c r="AZ15" i="6"/>
  <c r="BA15" i="6"/>
  <c r="AX15" i="6"/>
  <c r="AS833" i="4" l="1"/>
  <c r="AS830" i="4"/>
  <c r="AS828" i="4"/>
  <c r="AS839" i="4"/>
  <c r="AS836" i="4"/>
  <c r="AS841" i="4"/>
  <c r="AS832" i="4"/>
  <c r="AS840" i="4"/>
  <c r="AS831" i="4"/>
  <c r="AS834" i="4"/>
  <c r="AS837" i="4"/>
  <c r="AS838" i="4"/>
  <c r="AS827" i="4"/>
  <c r="AS835" i="4"/>
  <c r="B214" i="4"/>
  <c r="B70" i="4"/>
  <c r="AP836" i="4"/>
  <c r="AP839" i="4"/>
  <c r="AP831" i="4"/>
  <c r="AP841" i="4"/>
  <c r="AP832" i="4"/>
  <c r="AP827" i="4"/>
  <c r="AP835" i="4"/>
  <c r="AP828" i="4"/>
  <c r="AP833" i="4"/>
  <c r="AP837" i="4"/>
  <c r="AP840" i="4"/>
  <c r="AP830" i="4"/>
  <c r="AP838" i="4"/>
  <c r="AP834" i="4"/>
  <c r="B2000" i="4"/>
  <c r="O912" i="4"/>
  <c r="O948" i="4"/>
  <c r="B2018" i="4"/>
  <c r="B1982" i="4"/>
  <c r="O894" i="4"/>
  <c r="O840" i="4"/>
  <c r="O804" i="4"/>
  <c r="O1614" i="4"/>
  <c r="O1020" i="4"/>
  <c r="O858" i="4"/>
  <c r="O1074" i="4"/>
  <c r="O876" i="4"/>
  <c r="O966" i="4"/>
  <c r="O1038" i="4"/>
  <c r="O984" i="4"/>
  <c r="O1002" i="4"/>
  <c r="O930" i="4"/>
  <c r="O1056" i="4"/>
  <c r="B1946" i="4"/>
  <c r="B1838" i="4"/>
  <c r="B1820" i="4"/>
  <c r="B1856" i="4"/>
  <c r="B1784" i="4"/>
  <c r="B660" i="4"/>
  <c r="B286" i="4"/>
  <c r="B804" i="4"/>
  <c r="B1928" i="4"/>
  <c r="B1470" i="4"/>
  <c r="B1038" i="4"/>
  <c r="B423" i="4"/>
  <c r="B1668" i="4"/>
  <c r="B178" i="4"/>
  <c r="B1506" i="4"/>
  <c r="B1326" i="4"/>
  <c r="B160" i="4"/>
  <c r="B1182" i="4"/>
  <c r="B1892" i="4"/>
  <c r="B1110" i="4"/>
  <c r="B1910" i="4"/>
  <c r="BJ30" i="2"/>
  <c r="BP116" i="2"/>
  <c r="N16" i="5"/>
  <c r="A17" i="4"/>
  <c r="O5" i="5"/>
  <c r="B24" i="5"/>
  <c r="P5" i="5" s="1"/>
  <c r="H509" i="4"/>
  <c r="BP30" i="2" s="1"/>
  <c r="BO30" i="2"/>
  <c r="BJ38" i="2"/>
  <c r="G661" i="4"/>
  <c r="AA22" i="6"/>
  <c r="G511" i="4" s="1"/>
  <c r="G510" i="4"/>
  <c r="B840" i="4"/>
  <c r="B441" i="4"/>
  <c r="B732" i="4"/>
  <c r="B1748" i="4"/>
  <c r="B1308" i="4"/>
  <c r="B1596" i="4"/>
  <c r="B786" i="4"/>
  <c r="B1146" i="4"/>
  <c r="B876" i="4"/>
  <c r="B678" i="4"/>
  <c r="B124" i="4"/>
  <c r="B1578" i="4"/>
  <c r="B232" i="4"/>
  <c r="B1380" i="4"/>
  <c r="B526" i="4"/>
  <c r="B1344" i="4"/>
  <c r="B1092" i="4"/>
  <c r="B822" i="4"/>
  <c r="B322" i="4"/>
  <c r="B1614" i="4"/>
  <c r="B1254" i="4"/>
  <c r="B642" i="4"/>
  <c r="B1236" i="4"/>
  <c r="B366" i="4"/>
  <c r="B1542" i="4"/>
  <c r="B1290" i="4"/>
  <c r="B966" i="4"/>
  <c r="B624" i="4"/>
  <c r="B1874" i="4"/>
  <c r="B858" i="4"/>
  <c r="B750" i="4"/>
  <c r="B1200" i="4"/>
  <c r="B1218" i="4"/>
  <c r="B894" i="4"/>
  <c r="B1398" i="4"/>
  <c r="B1056" i="4"/>
  <c r="B1802" i="4"/>
  <c r="B1650" i="4"/>
  <c r="B1434" i="4"/>
  <c r="B52" i="4"/>
  <c r="B106" i="4"/>
  <c r="B1766" i="4"/>
  <c r="B1488" i="4"/>
  <c r="B1164" i="4"/>
  <c r="B768" i="4"/>
  <c r="B984" i="4"/>
  <c r="B142" i="4"/>
  <c r="B714" i="4"/>
  <c r="B588" i="4"/>
  <c r="B1416" i="4"/>
  <c r="B1452" i="4"/>
  <c r="B34" i="4"/>
  <c r="B696" i="4"/>
  <c r="B1020" i="4"/>
  <c r="B1632" i="4"/>
  <c r="B477" i="4"/>
  <c r="B304" i="4"/>
  <c r="B88" i="4"/>
  <c r="B1712" i="4"/>
  <c r="B912" i="4"/>
  <c r="B1128" i="4"/>
  <c r="B1524" i="4"/>
  <c r="B1074" i="4"/>
  <c r="B508" i="4"/>
  <c r="B1560" i="4"/>
  <c r="B1730" i="4"/>
  <c r="B930" i="4"/>
  <c r="B459" i="4"/>
  <c r="B250" i="4"/>
  <c r="B557" i="4"/>
  <c r="B606" i="4"/>
  <c r="B268" i="4"/>
  <c r="B196" i="4"/>
  <c r="B1362" i="4"/>
  <c r="B1002" i="4"/>
  <c r="B1272" i="4"/>
  <c r="B948" i="4"/>
  <c r="AR835" i="4" l="1"/>
  <c r="D1469" i="4" s="1"/>
  <c r="AQ835" i="4"/>
  <c r="D983" i="4" s="1"/>
  <c r="AT832" i="4"/>
  <c r="D930" i="4" s="1"/>
  <c r="AU832" i="4"/>
  <c r="D1416" i="4" s="1"/>
  <c r="AQ834" i="4"/>
  <c r="D965" i="4" s="1"/>
  <c r="AR834" i="4"/>
  <c r="D1451" i="4" s="1"/>
  <c r="AQ827" i="4"/>
  <c r="AR827" i="4"/>
  <c r="AP842" i="4"/>
  <c r="AT835" i="4"/>
  <c r="D984" i="4" s="1"/>
  <c r="AU835" i="4"/>
  <c r="D1470" i="4" s="1"/>
  <c r="AU841" i="4"/>
  <c r="D1560" i="4" s="1"/>
  <c r="AT841" i="4"/>
  <c r="D1074" i="4" s="1"/>
  <c r="AQ828" i="4"/>
  <c r="D857" i="4" s="1"/>
  <c r="AR828" i="4"/>
  <c r="D1343" i="4" s="1"/>
  <c r="AR838" i="4"/>
  <c r="D1541" i="4" s="1"/>
  <c r="AQ838" i="4"/>
  <c r="D1055" i="4" s="1"/>
  <c r="AT827" i="4"/>
  <c r="AU827" i="4"/>
  <c r="AS842" i="4"/>
  <c r="AQ830" i="4"/>
  <c r="D893" i="4" s="1"/>
  <c r="AR830" i="4"/>
  <c r="D1379" i="4" s="1"/>
  <c r="AU838" i="4"/>
  <c r="D1542" i="4" s="1"/>
  <c r="AT838" i="4"/>
  <c r="D1056" i="4" s="1"/>
  <c r="AQ840" i="4"/>
  <c r="D1613" i="4" s="1"/>
  <c r="AR840" i="4"/>
  <c r="D1631" i="4" s="1"/>
  <c r="AR831" i="4"/>
  <c r="D1397" i="4" s="1"/>
  <c r="AQ831" i="4"/>
  <c r="D911" i="4" s="1"/>
  <c r="AU837" i="4"/>
  <c r="D1506" i="4" s="1"/>
  <c r="AT837" i="4"/>
  <c r="D1020" i="4" s="1"/>
  <c r="AT828" i="4"/>
  <c r="D858" i="4" s="1"/>
  <c r="AU828" i="4"/>
  <c r="D1344" i="4" s="1"/>
  <c r="AQ832" i="4"/>
  <c r="D929" i="4" s="1"/>
  <c r="AR832" i="4"/>
  <c r="D1415" i="4" s="1"/>
  <c r="AU836" i="4"/>
  <c r="D1488" i="4" s="1"/>
  <c r="AT836" i="4"/>
  <c r="D1002" i="4" s="1"/>
  <c r="AQ841" i="4"/>
  <c r="D1073" i="4" s="1"/>
  <c r="AR841" i="4"/>
  <c r="D1559" i="4" s="1"/>
  <c r="AT839" i="4"/>
  <c r="D1038" i="4" s="1"/>
  <c r="AU839" i="4"/>
  <c r="AQ837" i="4"/>
  <c r="D1019" i="4" s="1"/>
  <c r="AR837" i="4"/>
  <c r="D1505" i="4" s="1"/>
  <c r="AR839" i="4"/>
  <c r="AQ839" i="4"/>
  <c r="D1037" i="4" s="1"/>
  <c r="AU834" i="4"/>
  <c r="D1452" i="4" s="1"/>
  <c r="AT834" i="4"/>
  <c r="D966" i="4" s="1"/>
  <c r="AT830" i="4"/>
  <c r="D894" i="4" s="1"/>
  <c r="AU830" i="4"/>
  <c r="D1380" i="4" s="1"/>
  <c r="AT840" i="4"/>
  <c r="D1614" i="4" s="1"/>
  <c r="AU840" i="4"/>
  <c r="D1632" i="4" s="1"/>
  <c r="AQ833" i="4"/>
  <c r="D947" i="4" s="1"/>
  <c r="AR833" i="4"/>
  <c r="D1433" i="4" s="1"/>
  <c r="AR836" i="4"/>
  <c r="D1487" i="4" s="1"/>
  <c r="AQ836" i="4"/>
  <c r="D1001" i="4" s="1"/>
  <c r="AU831" i="4"/>
  <c r="D1398" i="4" s="1"/>
  <c r="AT831" i="4"/>
  <c r="D912" i="4" s="1"/>
  <c r="AU833" i="4"/>
  <c r="D1434" i="4" s="1"/>
  <c r="AT833" i="4"/>
  <c r="D948" i="4" s="1"/>
  <c r="A215" i="4"/>
  <c r="B215" i="4" s="1"/>
  <c r="A2019" i="4"/>
  <c r="B2019" i="4" s="1"/>
  <c r="A1965" i="4"/>
  <c r="A2001" i="4"/>
  <c r="A1983" i="4"/>
  <c r="B1983" i="4" s="1"/>
  <c r="A1839" i="4"/>
  <c r="A1857" i="4"/>
  <c r="B1857" i="4" s="1"/>
  <c r="A1821" i="4"/>
  <c r="B1821" i="4" s="1"/>
  <c r="A1947" i="4"/>
  <c r="B1947" i="4" s="1"/>
  <c r="A287" i="4"/>
  <c r="B287" i="4" s="1"/>
  <c r="BZ116" i="2"/>
  <c r="P16" i="5"/>
  <c r="A19" i="4"/>
  <c r="BU116" i="2"/>
  <c r="O16" i="5"/>
  <c r="A18" i="4"/>
  <c r="A1237" i="4"/>
  <c r="B1237" i="4" s="1"/>
  <c r="A733" i="4"/>
  <c r="B733" i="4" s="1"/>
  <c r="A931" i="4"/>
  <c r="A1417" i="4"/>
  <c r="B1417" i="4" s="1"/>
  <c r="A35" i="4"/>
  <c r="B35" i="4" s="1"/>
  <c r="A558" i="4"/>
  <c r="A1039" i="4"/>
  <c r="A895" i="4"/>
  <c r="A1147" i="4"/>
  <c r="B1147" i="4" s="1"/>
  <c r="A197" i="4"/>
  <c r="B197" i="4" s="1"/>
  <c r="A143" i="4"/>
  <c r="A1875" i="4"/>
  <c r="B1875" i="4" s="1"/>
  <c r="A1093" i="4"/>
  <c r="B1093" i="4" s="1"/>
  <c r="A589" i="4"/>
  <c r="A787" i="4"/>
  <c r="B787" i="4" s="1"/>
  <c r="A1219" i="4"/>
  <c r="B1219" i="4" s="1"/>
  <c r="A1633" i="4"/>
  <c r="A478" i="4"/>
  <c r="B478" i="4" s="1"/>
  <c r="A1003" i="4"/>
  <c r="A607" i="4"/>
  <c r="A949" i="4"/>
  <c r="A1309" i="4"/>
  <c r="B1309" i="4" s="1"/>
  <c r="A424" i="4"/>
  <c r="B424" i="4" s="1"/>
  <c r="A161" i="4"/>
  <c r="B161" i="4" s="1"/>
  <c r="A1111" i="4"/>
  <c r="B1111" i="4" s="1"/>
  <c r="A1651" i="4"/>
  <c r="B1651" i="4" s="1"/>
  <c r="A1273" i="4"/>
  <c r="B1273" i="4" s="1"/>
  <c r="A509" i="4"/>
  <c r="B509" i="4" s="1"/>
  <c r="A805" i="4"/>
  <c r="A1731" i="4"/>
  <c r="B1731" i="4" s="1"/>
  <c r="A1713" i="4"/>
  <c r="B1713" i="4" s="1"/>
  <c r="A269" i="4"/>
  <c r="B269" i="4" s="1"/>
  <c r="A643" i="4"/>
  <c r="A1021" i="4"/>
  <c r="A1471" i="4"/>
  <c r="B1471" i="4" s="1"/>
  <c r="A251" i="4"/>
  <c r="B251" i="4" s="1"/>
  <c r="A913" i="4"/>
  <c r="A107" i="4"/>
  <c r="B107" i="4" s="1"/>
  <c r="A661" i="4"/>
  <c r="B661" i="4" s="1"/>
  <c r="A1785" i="4"/>
  <c r="B1785" i="4" s="1"/>
  <c r="A985" i="4"/>
  <c r="A1911" i="4"/>
  <c r="B1911" i="4" s="1"/>
  <c r="A697" i="4"/>
  <c r="A625" i="4"/>
  <c r="A1183" i="4"/>
  <c r="B1183" i="4" s="1"/>
  <c r="A967" i="4"/>
  <c r="A1489" i="4"/>
  <c r="B1489" i="4" s="1"/>
  <c r="A89" i="4"/>
  <c r="B89" i="4" s="1"/>
  <c r="A367" i="4"/>
  <c r="B367" i="4" s="1"/>
  <c r="A841" i="4"/>
  <c r="A1435" i="4"/>
  <c r="B1435" i="4" s="1"/>
  <c r="A53" i="4"/>
  <c r="B53" i="4" s="1"/>
  <c r="A769" i="4"/>
  <c r="B769" i="4" s="1"/>
  <c r="A823" i="4"/>
  <c r="B823" i="4" s="1"/>
  <c r="A179" i="4"/>
  <c r="B179" i="4" s="1"/>
  <c r="A1507" i="4"/>
  <c r="B1507" i="4" s="1"/>
  <c r="A1327" i="4"/>
  <c r="B1327" i="4" s="1"/>
  <c r="A1749" i="4"/>
  <c r="B1749" i="4" s="1"/>
  <c r="A1893" i="4"/>
  <c r="B1893" i="4" s="1"/>
  <c r="A1363" i="4"/>
  <c r="B1363" i="4" s="1"/>
  <c r="A1525" i="4"/>
  <c r="B1525" i="4" s="1"/>
  <c r="A1129" i="4"/>
  <c r="B1129" i="4" s="1"/>
  <c r="A1255" i="4"/>
  <c r="B1255" i="4" s="1"/>
  <c r="A1615" i="4"/>
  <c r="A460" i="4"/>
  <c r="B460" i="4" s="1"/>
  <c r="A859" i="4"/>
  <c r="A1399" i="4"/>
  <c r="B1399" i="4" s="1"/>
  <c r="A125" i="4"/>
  <c r="B125" i="4" s="1"/>
  <c r="A1543" i="4"/>
  <c r="B1543" i="4" s="1"/>
  <c r="B17" i="4"/>
  <c r="A1165" i="4"/>
  <c r="B1165" i="4" s="1"/>
  <c r="A1669" i="4"/>
  <c r="B1669" i="4" s="1"/>
  <c r="A527" i="4"/>
  <c r="B527" i="4" s="1"/>
  <c r="A751" i="4"/>
  <c r="B751" i="4" s="1"/>
  <c r="A679" i="4"/>
  <c r="B679" i="4" s="1"/>
  <c r="A715" i="4"/>
  <c r="B715" i="4" s="1"/>
  <c r="A1579" i="4"/>
  <c r="B1579" i="4" s="1"/>
  <c r="A1929" i="4"/>
  <c r="B1929" i="4" s="1"/>
  <c r="A71" i="4"/>
  <c r="B71" i="4" s="1"/>
  <c r="A1381" i="4"/>
  <c r="B1381" i="4" s="1"/>
  <c r="A233" i="4"/>
  <c r="B233" i="4" s="1"/>
  <c r="A1345" i="4"/>
  <c r="B1345" i="4" s="1"/>
  <c r="A877" i="4"/>
  <c r="A1453" i="4"/>
  <c r="B1453" i="4" s="1"/>
  <c r="A1291" i="4"/>
  <c r="B1291" i="4" s="1"/>
  <c r="A1075" i="4"/>
  <c r="A442" i="4"/>
  <c r="B442" i="4" s="1"/>
  <c r="A305" i="4"/>
  <c r="B305" i="4" s="1"/>
  <c r="A1561" i="4"/>
  <c r="B1561" i="4" s="1"/>
  <c r="A1767" i="4"/>
  <c r="B1767" i="4" s="1"/>
  <c r="A1057" i="4"/>
  <c r="A1201" i="4"/>
  <c r="B1201" i="4" s="1"/>
  <c r="A1803" i="4"/>
  <c r="B1803" i="4" s="1"/>
  <c r="A323" i="4"/>
  <c r="B323" i="4" s="1"/>
  <c r="A1597" i="4"/>
  <c r="B1597" i="4" s="1"/>
  <c r="H510" i="4"/>
  <c r="BU30" i="2" s="1"/>
  <c r="BT30" i="2"/>
  <c r="BO38" i="2"/>
  <c r="H511" i="4"/>
  <c r="BZ30" i="2" s="1"/>
  <c r="BY30" i="2"/>
  <c r="G663" i="4"/>
  <c r="G662" i="4"/>
  <c r="B16" i="6"/>
  <c r="AR842" i="4" l="1"/>
  <c r="AQ842" i="4"/>
  <c r="D839" i="4"/>
  <c r="B1633" i="4"/>
  <c r="AV826" i="4"/>
  <c r="AU842" i="4"/>
  <c r="D840" i="4"/>
  <c r="AT842" i="4"/>
  <c r="A217" i="4"/>
  <c r="A2021" i="4"/>
  <c r="A1985" i="4"/>
  <c r="A1967" i="4"/>
  <c r="A2003" i="4"/>
  <c r="B1965" i="4"/>
  <c r="A216" i="4"/>
  <c r="B216" i="4" s="1"/>
  <c r="A1966" i="4"/>
  <c r="B1966" i="4" s="1"/>
  <c r="A2002" i="4"/>
  <c r="B2002" i="4" s="1"/>
  <c r="A2020" i="4"/>
  <c r="A1984" i="4"/>
  <c r="B2001" i="4"/>
  <c r="B697" i="4"/>
  <c r="B625" i="4"/>
  <c r="B607" i="4"/>
  <c r="B805" i="4"/>
  <c r="N805" i="4"/>
  <c r="O805" i="4" s="1"/>
  <c r="B643" i="4"/>
  <c r="B143" i="4"/>
  <c r="B1615" i="4"/>
  <c r="N1615" i="4"/>
  <c r="O1615" i="4" s="1"/>
  <c r="B589" i="4"/>
  <c r="B1075" i="4"/>
  <c r="N1075" i="4"/>
  <c r="O1075" i="4" s="1"/>
  <c r="B558" i="4"/>
  <c r="B913" i="4"/>
  <c r="N913" i="4"/>
  <c r="O913" i="4" s="1"/>
  <c r="B949" i="4"/>
  <c r="N949" i="4"/>
  <c r="O949" i="4" s="1"/>
  <c r="B1057" i="4"/>
  <c r="N1057" i="4"/>
  <c r="O1057" i="4" s="1"/>
  <c r="B1003" i="4"/>
  <c r="N1003" i="4"/>
  <c r="O1003" i="4" s="1"/>
  <c r="B931" i="4"/>
  <c r="N931" i="4"/>
  <c r="O931" i="4" s="1"/>
  <c r="B841" i="4"/>
  <c r="N841" i="4"/>
  <c r="O841" i="4" s="1"/>
  <c r="B1021" i="4"/>
  <c r="N1021" i="4"/>
  <c r="O1021" i="4" s="1"/>
  <c r="B895" i="4"/>
  <c r="N895" i="4"/>
  <c r="O895" i="4" s="1"/>
  <c r="B967" i="4"/>
  <c r="N967" i="4"/>
  <c r="B877" i="4"/>
  <c r="N877" i="4"/>
  <c r="B859" i="4"/>
  <c r="N859" i="4"/>
  <c r="O859" i="4" s="1"/>
  <c r="B985" i="4"/>
  <c r="N985" i="4"/>
  <c r="O985" i="4" s="1"/>
  <c r="B1039" i="4"/>
  <c r="N1039" i="4"/>
  <c r="A1859" i="4"/>
  <c r="A1841" i="4"/>
  <c r="A1823" i="4"/>
  <c r="A1840" i="4"/>
  <c r="A1822" i="4"/>
  <c r="B1822" i="4" s="1"/>
  <c r="A1858" i="4"/>
  <c r="B1858" i="4" s="1"/>
  <c r="B1839" i="4"/>
  <c r="A1948" i="4"/>
  <c r="B1948" i="4" s="1"/>
  <c r="A288" i="4"/>
  <c r="B288" i="4" s="1"/>
  <c r="A1949" i="4"/>
  <c r="A289" i="4"/>
  <c r="A1930" i="4"/>
  <c r="B1930" i="4" s="1"/>
  <c r="A162" i="4"/>
  <c r="B162" i="4" s="1"/>
  <c r="A1004" i="4"/>
  <c r="A644" i="4"/>
  <c r="B644" i="4" s="1"/>
  <c r="A1022" i="4"/>
  <c r="A1544" i="4"/>
  <c r="B1544" i="4" s="1"/>
  <c r="A306" i="4"/>
  <c r="B306" i="4" s="1"/>
  <c r="A914" i="4"/>
  <c r="A1166" i="4"/>
  <c r="B1166" i="4" s="1"/>
  <c r="A1490" i="4"/>
  <c r="B1490" i="4" s="1"/>
  <c r="A1732" i="4"/>
  <c r="B1732" i="4" s="1"/>
  <c r="A1130" i="4"/>
  <c r="B1130" i="4" s="1"/>
  <c r="A54" i="4"/>
  <c r="B54" i="4" s="1"/>
  <c r="A559" i="4"/>
  <c r="A1598" i="4"/>
  <c r="B1598" i="4" s="1"/>
  <c r="A461" i="4"/>
  <c r="B461" i="4" s="1"/>
  <c r="A126" i="4"/>
  <c r="B126" i="4" s="1"/>
  <c r="A479" i="4"/>
  <c r="B479" i="4" s="1"/>
  <c r="A72" i="4"/>
  <c r="B72" i="4" s="1"/>
  <c r="A806" i="4"/>
  <c r="A1652" i="4"/>
  <c r="B1652" i="4" s="1"/>
  <c r="A368" i="4"/>
  <c r="B368" i="4" s="1"/>
  <c r="A842" i="4"/>
  <c r="A1382" i="4"/>
  <c r="B1382" i="4" s="1"/>
  <c r="A108" i="4"/>
  <c r="B108" i="4" s="1"/>
  <c r="A770" i="4"/>
  <c r="B770" i="4" s="1"/>
  <c r="A968" i="4"/>
  <c r="A1274" i="4"/>
  <c r="B1274" i="4" s="1"/>
  <c r="A950" i="4"/>
  <c r="A1310" i="4"/>
  <c r="B1310" i="4" s="1"/>
  <c r="A1804" i="4"/>
  <c r="B1804" i="4" s="1"/>
  <c r="A1400" i="4"/>
  <c r="B1400" i="4" s="1"/>
  <c r="A716" i="4"/>
  <c r="B716" i="4" s="1"/>
  <c r="A1454" i="4"/>
  <c r="B1454" i="4" s="1"/>
  <c r="A144" i="4"/>
  <c r="B144" i="4" s="1"/>
  <c r="A698" i="4"/>
  <c r="A1346" i="4"/>
  <c r="B1346" i="4" s="1"/>
  <c r="A1876" i="4"/>
  <c r="B1876" i="4" s="1"/>
  <c r="A626" i="4"/>
  <c r="B626" i="4" s="1"/>
  <c r="A824" i="4"/>
  <c r="B824" i="4" s="1"/>
  <c r="A1670" i="4"/>
  <c r="B1670" i="4" s="1"/>
  <c r="A662" i="4"/>
  <c r="B662" i="4" s="1"/>
  <c r="A1112" i="4"/>
  <c r="B1112" i="4" s="1"/>
  <c r="A1094" i="4"/>
  <c r="B1094" i="4" s="1"/>
  <c r="A986" i="4"/>
  <c r="A1076" i="4"/>
  <c r="A270" i="4"/>
  <c r="B270" i="4" s="1"/>
  <c r="A1750" i="4"/>
  <c r="B1750" i="4" s="1"/>
  <c r="A1256" i="4"/>
  <c r="B1256" i="4" s="1"/>
  <c r="B18" i="4"/>
  <c r="A528" i="4"/>
  <c r="B528" i="4" s="1"/>
  <c r="A1184" i="4"/>
  <c r="B1184" i="4" s="1"/>
  <c r="A1580" i="4"/>
  <c r="B1580" i="4" s="1"/>
  <c r="A324" i="4"/>
  <c r="B324" i="4" s="1"/>
  <c r="A680" i="4"/>
  <c r="B680" i="4" s="1"/>
  <c r="A1472" i="4"/>
  <c r="B1472" i="4" s="1"/>
  <c r="A180" i="4"/>
  <c r="B180" i="4" s="1"/>
  <c r="A1634" i="4"/>
  <c r="A510" i="4"/>
  <c r="B510" i="4" s="1"/>
  <c r="A1912" i="4"/>
  <c r="B1912" i="4" s="1"/>
  <c r="A734" i="4"/>
  <c r="B734" i="4" s="1"/>
  <c r="A1292" i="4"/>
  <c r="B1292" i="4" s="1"/>
  <c r="A932" i="4"/>
  <c r="A1418" i="4"/>
  <c r="B1418" i="4" s="1"/>
  <c r="A36" i="4"/>
  <c r="B36" i="4" s="1"/>
  <c r="A752" i="4"/>
  <c r="B752" i="4" s="1"/>
  <c r="A1202" i="4"/>
  <c r="B1202" i="4" s="1"/>
  <c r="A1562" i="4"/>
  <c r="B1562" i="4" s="1"/>
  <c r="A198" i="4"/>
  <c r="B198" i="4" s="1"/>
  <c r="A1526" i="4"/>
  <c r="B1526" i="4" s="1"/>
  <c r="A878" i="4"/>
  <c r="A860" i="4"/>
  <c r="A1616" i="4"/>
  <c r="A1786" i="4"/>
  <c r="B1786" i="4" s="1"/>
  <c r="A234" i="4"/>
  <c r="B234" i="4" s="1"/>
  <c r="A425" i="4"/>
  <c r="B425" i="4" s="1"/>
  <c r="A1714" i="4"/>
  <c r="B1714" i="4" s="1"/>
  <c r="A896" i="4"/>
  <c r="A788" i="4"/>
  <c r="B788" i="4" s="1"/>
  <c r="A590" i="4"/>
  <c r="B590" i="4" s="1"/>
  <c r="A1220" i="4"/>
  <c r="B1220" i="4" s="1"/>
  <c r="A1364" i="4"/>
  <c r="B1364" i="4" s="1"/>
  <c r="A1508" i="4"/>
  <c r="B1508" i="4" s="1"/>
  <c r="A1768" i="4"/>
  <c r="B1768" i="4" s="1"/>
  <c r="A90" i="4"/>
  <c r="B90" i="4" s="1"/>
  <c r="A1040" i="4"/>
  <c r="A1894" i="4"/>
  <c r="B1894" i="4" s="1"/>
  <c r="A443" i="4"/>
  <c r="B443" i="4" s="1"/>
  <c r="A1436" i="4"/>
  <c r="B1436" i="4" s="1"/>
  <c r="A1148" i="4"/>
  <c r="B1148" i="4" s="1"/>
  <c r="A608" i="4"/>
  <c r="B608" i="4" s="1"/>
  <c r="A1328" i="4"/>
  <c r="B1328" i="4" s="1"/>
  <c r="A1058" i="4"/>
  <c r="A1238" i="4"/>
  <c r="B1238" i="4" s="1"/>
  <c r="A252" i="4"/>
  <c r="B252" i="4" s="1"/>
  <c r="A163" i="4"/>
  <c r="A55" i="4"/>
  <c r="A560" i="4"/>
  <c r="A1401" i="4"/>
  <c r="A1473" i="4"/>
  <c r="A127" i="4"/>
  <c r="A1077" i="4"/>
  <c r="A511" i="4"/>
  <c r="A1805" i="4"/>
  <c r="A663" i="4"/>
  <c r="B19" i="4"/>
  <c r="A1383" i="4"/>
  <c r="A699" i="4"/>
  <c r="A1895" i="4"/>
  <c r="A1581" i="4"/>
  <c r="A825" i="4"/>
  <c r="A753" i="4"/>
  <c r="A645" i="4"/>
  <c r="A789" i="4"/>
  <c r="A253" i="4"/>
  <c r="A271" i="4"/>
  <c r="A1275" i="4"/>
  <c r="A1167" i="4"/>
  <c r="A1635" i="4"/>
  <c r="BB826" i="4" s="1"/>
  <c r="A807" i="4"/>
  <c r="N807" i="4" s="1"/>
  <c r="A109" i="4"/>
  <c r="B109" i="4" s="1"/>
  <c r="A1545" i="4"/>
  <c r="A843" i="4"/>
  <c r="N843" i="4" s="1"/>
  <c r="A717" i="4"/>
  <c r="A369" i="4"/>
  <c r="A1149" i="4"/>
  <c r="A1419" i="4"/>
  <c r="A1751" i="4"/>
  <c r="B1751" i="4" s="1"/>
  <c r="A1131" i="4"/>
  <c r="A627" i="4"/>
  <c r="A771" i="4"/>
  <c r="A681" i="4"/>
  <c r="A1491" i="4"/>
  <c r="A951" i="4"/>
  <c r="N951" i="4" s="1"/>
  <c r="A307" i="4"/>
  <c r="B307" i="4" s="1"/>
  <c r="A1599" i="4"/>
  <c r="A1023" i="4"/>
  <c r="N1023" i="4" s="1"/>
  <c r="A1257" i="4"/>
  <c r="A1203" i="4"/>
  <c r="B1203" i="4" s="1"/>
  <c r="A37" i="4"/>
  <c r="A915" i="4"/>
  <c r="N915" i="4" s="1"/>
  <c r="A91" i="4"/>
  <c r="A1527" i="4"/>
  <c r="A879" i="4"/>
  <c r="N879" i="4" s="1"/>
  <c r="A1239" i="4"/>
  <c r="A933" i="4"/>
  <c r="N933" i="4" s="1"/>
  <c r="A591" i="4"/>
  <c r="A1365" i="4"/>
  <c r="A1347" i="4"/>
  <c r="B1347" i="4" s="1"/>
  <c r="A1113" i="4"/>
  <c r="A609" i="4"/>
  <c r="A1769" i="4"/>
  <c r="A1221" i="4"/>
  <c r="B1221" i="4" s="1"/>
  <c r="A325" i="4"/>
  <c r="A1913" i="4"/>
  <c r="A1787" i="4"/>
  <c r="A1877" i="4"/>
  <c r="A1455" i="4"/>
  <c r="A1041" i="4"/>
  <c r="N1041" i="4" s="1"/>
  <c r="A735" i="4"/>
  <c r="A861" i="4"/>
  <c r="N861" i="4" s="1"/>
  <c r="A969" i="4"/>
  <c r="N969" i="4" s="1"/>
  <c r="A181" i="4"/>
  <c r="A1509" i="4"/>
  <c r="A987" i="4"/>
  <c r="A462" i="4"/>
  <c r="A73" i="4"/>
  <c r="A1329" i="4"/>
  <c r="A1005" i="4"/>
  <c r="N1005" i="4" s="1"/>
  <c r="A426" i="4"/>
  <c r="A1437" i="4"/>
  <c r="A1059" i="4"/>
  <c r="N1059" i="4" s="1"/>
  <c r="A145" i="4"/>
  <c r="A1311" i="4"/>
  <c r="B1311" i="4" s="1"/>
  <c r="A199" i="4"/>
  <c r="A1733" i="4"/>
  <c r="A1931" i="4"/>
  <c r="B1931" i="4" s="1"/>
  <c r="A897" i="4"/>
  <c r="N897" i="4" s="1"/>
  <c r="A1715" i="4"/>
  <c r="A444" i="4"/>
  <c r="A1185" i="4"/>
  <c r="A1653" i="4"/>
  <c r="A1563" i="4"/>
  <c r="A1095" i="4"/>
  <c r="A1293" i="4"/>
  <c r="A235" i="4"/>
  <c r="A480" i="4"/>
  <c r="A1671" i="4"/>
  <c r="A529" i="4"/>
  <c r="A1617" i="4"/>
  <c r="N1617" i="4" s="1"/>
  <c r="BT38" i="2"/>
  <c r="BY38" i="2"/>
  <c r="BB836" i="4" l="1"/>
  <c r="BB828" i="4"/>
  <c r="BB827" i="4"/>
  <c r="BB841" i="4"/>
  <c r="BB838" i="4"/>
  <c r="BB840" i="4"/>
  <c r="BB837" i="4"/>
  <c r="BB831" i="4"/>
  <c r="BB839" i="4"/>
  <c r="BB830" i="4"/>
  <c r="BB833" i="4"/>
  <c r="BB835" i="4"/>
  <c r="BB834" i="4"/>
  <c r="BB832" i="4"/>
  <c r="AV836" i="4"/>
  <c r="AV837" i="4"/>
  <c r="AV841" i="4"/>
  <c r="AV834" i="4"/>
  <c r="AV831" i="4"/>
  <c r="AV840" i="4"/>
  <c r="AV828" i="4"/>
  <c r="AV830" i="4"/>
  <c r="AV835" i="4"/>
  <c r="AV827" i="4"/>
  <c r="AV839" i="4"/>
  <c r="AV833" i="4"/>
  <c r="AV838" i="4"/>
  <c r="AV832" i="4"/>
  <c r="B1634" i="4"/>
  <c r="AY826" i="4"/>
  <c r="B217" i="4"/>
  <c r="B2003" i="4"/>
  <c r="B2021" i="4"/>
  <c r="B2020" i="4"/>
  <c r="B1985" i="4"/>
  <c r="B1984" i="4"/>
  <c r="B1967" i="4"/>
  <c r="B699" i="4"/>
  <c r="B698" i="4"/>
  <c r="B806" i="4"/>
  <c r="N806" i="4"/>
  <c r="O806" i="4" s="1"/>
  <c r="B1616" i="4"/>
  <c r="N1616" i="4"/>
  <c r="O1616" i="4" s="1"/>
  <c r="B932" i="4"/>
  <c r="N932" i="4"/>
  <c r="O932" i="4" s="1"/>
  <c r="B842" i="4"/>
  <c r="N842" i="4"/>
  <c r="O842" i="4" s="1"/>
  <c r="O877" i="4"/>
  <c r="B1077" i="4"/>
  <c r="N1077" i="4"/>
  <c r="B1040" i="4"/>
  <c r="N1040" i="4"/>
  <c r="O1040" i="4" s="1"/>
  <c r="B896" i="4"/>
  <c r="N896" i="4"/>
  <c r="O896" i="4" s="1"/>
  <c r="B559" i="4"/>
  <c r="B987" i="4"/>
  <c r="N987" i="4"/>
  <c r="B1058" i="4"/>
  <c r="N1058" i="4"/>
  <c r="O1058" i="4" s="1"/>
  <c r="B986" i="4"/>
  <c r="N986" i="4"/>
  <c r="O986" i="4" s="1"/>
  <c r="O967" i="4"/>
  <c r="B968" i="4"/>
  <c r="N968" i="4"/>
  <c r="O968" i="4" s="1"/>
  <c r="B1004" i="4"/>
  <c r="N1004" i="4"/>
  <c r="O1004" i="4" s="1"/>
  <c r="B878" i="4"/>
  <c r="N878" i="4"/>
  <c r="O878" i="4" s="1"/>
  <c r="B1076" i="4"/>
  <c r="N1076" i="4"/>
  <c r="B950" i="4"/>
  <c r="N950" i="4"/>
  <c r="B1022" i="4"/>
  <c r="N1022" i="4"/>
  <c r="O1022" i="4" s="1"/>
  <c r="O1039" i="4"/>
  <c r="B860" i="4"/>
  <c r="N860" i="4"/>
  <c r="O860" i="4" s="1"/>
  <c r="B914" i="4"/>
  <c r="N914" i="4"/>
  <c r="O914" i="4" s="1"/>
  <c r="B289" i="4"/>
  <c r="B1949" i="4"/>
  <c r="B1841" i="4"/>
  <c r="B1840" i="4"/>
  <c r="B1823" i="4"/>
  <c r="B1859" i="4"/>
  <c r="B1509" i="4"/>
  <c r="B591" i="4"/>
  <c r="B1383" i="4"/>
  <c r="B1401" i="4"/>
  <c r="B444" i="4"/>
  <c r="B1257" i="4"/>
  <c r="B915" i="4"/>
  <c r="B1617" i="4"/>
  <c r="B1653" i="4"/>
  <c r="B462" i="4"/>
  <c r="B91" i="4"/>
  <c r="B951" i="4"/>
  <c r="B1581" i="4"/>
  <c r="B627" i="4"/>
  <c r="B789" i="4"/>
  <c r="B933" i="4"/>
  <c r="B735" i="4"/>
  <c r="B199" i="4"/>
  <c r="B1041" i="4"/>
  <c r="B1527" i="4"/>
  <c r="B1419" i="4"/>
  <c r="B825" i="4"/>
  <c r="B1059" i="4"/>
  <c r="B1473" i="4"/>
  <c r="B1715" i="4"/>
  <c r="B897" i="4"/>
  <c r="B325" i="4"/>
  <c r="B1545" i="4"/>
  <c r="B560" i="4"/>
  <c r="B1293" i="4"/>
  <c r="B861" i="4"/>
  <c r="B1239" i="4"/>
  <c r="B1023" i="4"/>
  <c r="B55" i="4"/>
  <c r="B1563" i="4"/>
  <c r="B73" i="4"/>
  <c r="B609" i="4"/>
  <c r="B1113" i="4"/>
  <c r="B1913" i="4"/>
  <c r="B235" i="4"/>
  <c r="B969" i="4"/>
  <c r="B511" i="4"/>
  <c r="B529" i="4"/>
  <c r="B1185" i="4"/>
  <c r="B145" i="4"/>
  <c r="B1275" i="4"/>
  <c r="B1131" i="4"/>
  <c r="B645" i="4"/>
  <c r="B426" i="4"/>
  <c r="B1005" i="4"/>
  <c r="B1095" i="4"/>
  <c r="B1733" i="4"/>
  <c r="B1329" i="4"/>
  <c r="B1769" i="4"/>
  <c r="B807" i="4"/>
  <c r="B663" i="4"/>
  <c r="B879" i="4"/>
  <c r="B1599" i="4"/>
  <c r="B753" i="4"/>
  <c r="B1805" i="4"/>
  <c r="B163" i="4"/>
  <c r="B1877" i="4"/>
  <c r="B1491" i="4"/>
  <c r="B369" i="4"/>
  <c r="B1895" i="4"/>
  <c r="B127" i="4"/>
  <c r="B1635" i="4"/>
  <c r="B1167" i="4"/>
  <c r="B1671" i="4"/>
  <c r="B1787" i="4"/>
  <c r="B1365" i="4"/>
  <c r="B37" i="4"/>
  <c r="B681" i="4"/>
  <c r="B717" i="4"/>
  <c r="B271" i="4"/>
  <c r="B1455" i="4"/>
  <c r="B1149" i="4"/>
  <c r="B480" i="4"/>
  <c r="B1437" i="4"/>
  <c r="B181" i="4"/>
  <c r="B771" i="4"/>
  <c r="B843" i="4"/>
  <c r="B253" i="4"/>
  <c r="AX827" i="4" l="1"/>
  <c r="AW827" i="4"/>
  <c r="AV842" i="4"/>
  <c r="AW835" i="4"/>
  <c r="D985" i="4" s="1"/>
  <c r="AX835" i="4"/>
  <c r="D1471" i="4" s="1"/>
  <c r="AX836" i="4"/>
  <c r="D1489" i="4" s="1"/>
  <c r="AW836" i="4"/>
  <c r="D1003" i="4" s="1"/>
  <c r="BC837" i="4"/>
  <c r="D1023" i="4" s="1"/>
  <c r="BD837" i="4"/>
  <c r="D1509" i="4" s="1"/>
  <c r="AY830" i="4"/>
  <c r="AY832" i="4"/>
  <c r="AY835" i="4"/>
  <c r="AY828" i="4"/>
  <c r="AY834" i="4"/>
  <c r="AY839" i="4"/>
  <c r="AY841" i="4"/>
  <c r="AY831" i="4"/>
  <c r="AY838" i="4"/>
  <c r="AY836" i="4"/>
  <c r="AY833" i="4"/>
  <c r="AY827" i="4"/>
  <c r="AY837" i="4"/>
  <c r="AY840" i="4"/>
  <c r="AW830" i="4"/>
  <c r="D895" i="4" s="1"/>
  <c r="AX830" i="4"/>
  <c r="D1381" i="4" s="1"/>
  <c r="BC832" i="4"/>
  <c r="D933" i="4" s="1"/>
  <c r="BD832" i="4"/>
  <c r="D1419" i="4" s="1"/>
  <c r="BC840" i="4"/>
  <c r="D1617" i="4" s="1"/>
  <c r="BD840" i="4"/>
  <c r="D1635" i="4" s="1"/>
  <c r="BD831" i="4"/>
  <c r="D1401" i="4" s="1"/>
  <c r="BC831" i="4"/>
  <c r="D915" i="4" s="1"/>
  <c r="BC834" i="4"/>
  <c r="D969" i="4" s="1"/>
  <c r="BD834" i="4"/>
  <c r="D1455" i="4" s="1"/>
  <c r="AX832" i="4"/>
  <c r="D1417" i="4" s="1"/>
  <c r="AW832" i="4"/>
  <c r="D931" i="4" s="1"/>
  <c r="BC835" i="4"/>
  <c r="D987" i="4" s="1"/>
  <c r="BD835" i="4"/>
  <c r="D1473" i="4" s="1"/>
  <c r="AX838" i="4"/>
  <c r="D1543" i="4" s="1"/>
  <c r="AW838" i="4"/>
  <c r="D1057" i="4" s="1"/>
  <c r="AX831" i="4"/>
  <c r="D1399" i="4" s="1"/>
  <c r="AW831" i="4"/>
  <c r="D913" i="4" s="1"/>
  <c r="BC833" i="4"/>
  <c r="D951" i="4" s="1"/>
  <c r="BD833" i="4"/>
  <c r="D1437" i="4" s="1"/>
  <c r="BD827" i="4"/>
  <c r="BC827" i="4"/>
  <c r="BB842" i="4"/>
  <c r="BC838" i="4"/>
  <c r="D1059" i="4" s="1"/>
  <c r="BD838" i="4"/>
  <c r="D1545" i="4" s="1"/>
  <c r="AX840" i="4"/>
  <c r="D1633" i="4" s="1"/>
  <c r="AW840" i="4"/>
  <c r="D1615" i="4" s="1"/>
  <c r="BC841" i="4"/>
  <c r="D1077" i="4" s="1"/>
  <c r="BD841" i="4"/>
  <c r="D1563" i="4" s="1"/>
  <c r="O807" i="4"/>
  <c r="AW833" i="4"/>
  <c r="D949" i="4" s="1"/>
  <c r="AX833" i="4"/>
  <c r="D1435" i="4" s="1"/>
  <c r="AW834" i="4"/>
  <c r="D967" i="4" s="1"/>
  <c r="AX834" i="4"/>
  <c r="D1453" i="4" s="1"/>
  <c r="BC830" i="4"/>
  <c r="D897" i="4" s="1"/>
  <c r="BD830" i="4"/>
  <c r="D1383" i="4" s="1"/>
  <c r="BC828" i="4"/>
  <c r="D861" i="4" s="1"/>
  <c r="BD828" i="4"/>
  <c r="D1347" i="4" s="1"/>
  <c r="AX837" i="4"/>
  <c r="D1507" i="4" s="1"/>
  <c r="AW837" i="4"/>
  <c r="D1021" i="4" s="1"/>
  <c r="AX828" i="4"/>
  <c r="D1345" i="4" s="1"/>
  <c r="AW828" i="4"/>
  <c r="D859" i="4" s="1"/>
  <c r="AX839" i="4"/>
  <c r="AW839" i="4"/>
  <c r="D1039" i="4" s="1"/>
  <c r="AX841" i="4"/>
  <c r="D1561" i="4" s="1"/>
  <c r="AW841" i="4"/>
  <c r="D1075" i="4" s="1"/>
  <c r="BD839" i="4"/>
  <c r="BC839" i="4"/>
  <c r="D1041" i="4" s="1"/>
  <c r="BD836" i="4"/>
  <c r="D1491" i="4" s="1"/>
  <c r="BC836" i="4"/>
  <c r="D1005" i="4" s="1"/>
  <c r="O987" i="4"/>
  <c r="O1023" i="4"/>
  <c r="O1005" i="4"/>
  <c r="O1059" i="4"/>
  <c r="O1617" i="4"/>
  <c r="O1076" i="4"/>
  <c r="O915" i="4"/>
  <c r="O879" i="4"/>
  <c r="O933" i="4"/>
  <c r="O843" i="4"/>
  <c r="O1077" i="4"/>
  <c r="O950" i="4"/>
  <c r="O969" i="4"/>
  <c r="O861" i="4"/>
  <c r="O897" i="4"/>
  <c r="O951" i="4"/>
  <c r="O1041" i="4"/>
  <c r="O7" i="2"/>
  <c r="Q7" i="2"/>
  <c r="AW7" i="2"/>
  <c r="J85" i="2"/>
  <c r="L85" i="2"/>
  <c r="O85" i="2"/>
  <c r="Q85" i="2"/>
  <c r="J86" i="2"/>
  <c r="L86" i="2"/>
  <c r="O86" i="2"/>
  <c r="Q86" i="2"/>
  <c r="J87" i="2"/>
  <c r="L87" i="2"/>
  <c r="O87" i="2"/>
  <c r="Q87" i="2"/>
  <c r="J88" i="2"/>
  <c r="L88" i="2"/>
  <c r="O88" i="2"/>
  <c r="Q88" i="2"/>
  <c r="J90" i="2"/>
  <c r="L90" i="2"/>
  <c r="O90" i="2"/>
  <c r="Q90" i="2"/>
  <c r="J91" i="2"/>
  <c r="L91" i="2"/>
  <c r="O91" i="2"/>
  <c r="Q91" i="2"/>
  <c r="J92" i="2"/>
  <c r="L92" i="2"/>
  <c r="O92" i="2"/>
  <c r="Q92" i="2"/>
  <c r="J93" i="2"/>
  <c r="L93" i="2"/>
  <c r="O93" i="2"/>
  <c r="Q93" i="2"/>
  <c r="W130" i="2"/>
  <c r="W129" i="2"/>
  <c r="W126" i="2"/>
  <c r="O95" i="2"/>
  <c r="J95" i="2"/>
  <c r="E95" i="2"/>
  <c r="G93" i="2"/>
  <c r="E93" i="2"/>
  <c r="G92" i="2"/>
  <c r="E92" i="2"/>
  <c r="G91" i="2"/>
  <c r="E91" i="2"/>
  <c r="G90" i="2"/>
  <c r="E90" i="2"/>
  <c r="G88" i="2"/>
  <c r="E88" i="2"/>
  <c r="G87" i="2"/>
  <c r="E87" i="2"/>
  <c r="G86" i="2"/>
  <c r="E86" i="2"/>
  <c r="G85" i="2"/>
  <c r="E85" i="2"/>
  <c r="Q55" i="2"/>
  <c r="O55" i="2"/>
  <c r="L55" i="2"/>
  <c r="J55" i="2"/>
  <c r="G55" i="2"/>
  <c r="E55" i="2"/>
  <c r="Q69" i="2"/>
  <c r="O69" i="2"/>
  <c r="L69" i="2"/>
  <c r="J69" i="2"/>
  <c r="G69" i="2"/>
  <c r="E69" i="2"/>
  <c r="Q68" i="2"/>
  <c r="O68" i="2"/>
  <c r="L68" i="2"/>
  <c r="J68" i="2"/>
  <c r="G68" i="2"/>
  <c r="E68" i="2"/>
  <c r="Q67" i="2"/>
  <c r="O67" i="2"/>
  <c r="L67" i="2"/>
  <c r="J67" i="2"/>
  <c r="G67" i="2"/>
  <c r="E67" i="2"/>
  <c r="Q66" i="2"/>
  <c r="O66" i="2"/>
  <c r="L66" i="2"/>
  <c r="J66" i="2"/>
  <c r="G66" i="2"/>
  <c r="E66" i="2"/>
  <c r="Q65" i="2"/>
  <c r="O65" i="2"/>
  <c r="L65" i="2"/>
  <c r="J65" i="2"/>
  <c r="G65" i="2"/>
  <c r="E65" i="2"/>
  <c r="Q64" i="2"/>
  <c r="O64" i="2"/>
  <c r="L64" i="2"/>
  <c r="J64" i="2"/>
  <c r="G64" i="2"/>
  <c r="E64" i="2"/>
  <c r="Q63" i="2"/>
  <c r="O63" i="2"/>
  <c r="L63" i="2"/>
  <c r="J63" i="2"/>
  <c r="G63" i="2"/>
  <c r="E63" i="2"/>
  <c r="Q61" i="2"/>
  <c r="O61" i="2"/>
  <c r="L61" i="2"/>
  <c r="J61" i="2"/>
  <c r="G61" i="2"/>
  <c r="E61" i="2"/>
  <c r="Q60" i="2"/>
  <c r="O60" i="2"/>
  <c r="L60" i="2"/>
  <c r="J60" i="2"/>
  <c r="G60" i="2"/>
  <c r="E60" i="2"/>
  <c r="Q59" i="2"/>
  <c r="O59" i="2"/>
  <c r="L59" i="2"/>
  <c r="J59" i="2"/>
  <c r="G59" i="2"/>
  <c r="E59" i="2"/>
  <c r="Q58" i="2"/>
  <c r="O58" i="2"/>
  <c r="L58" i="2"/>
  <c r="J58" i="2"/>
  <c r="G58" i="2"/>
  <c r="E58" i="2"/>
  <c r="Q57" i="2"/>
  <c r="O57" i="2"/>
  <c r="L57" i="2"/>
  <c r="J57" i="2"/>
  <c r="G57" i="2"/>
  <c r="E57" i="2"/>
  <c r="Q56" i="2"/>
  <c r="O56" i="2"/>
  <c r="L56" i="2"/>
  <c r="J56" i="2"/>
  <c r="G56" i="2"/>
  <c r="E56" i="2"/>
  <c r="Q52" i="2"/>
  <c r="O52" i="2"/>
  <c r="L52" i="2"/>
  <c r="J52" i="2"/>
  <c r="G52" i="2"/>
  <c r="E52" i="2"/>
  <c r="Q51" i="2"/>
  <c r="O51" i="2"/>
  <c r="L51" i="2"/>
  <c r="J51" i="2"/>
  <c r="G51" i="2"/>
  <c r="E51" i="2"/>
  <c r="Q50" i="2"/>
  <c r="O50" i="2"/>
  <c r="L50" i="2"/>
  <c r="J50" i="2"/>
  <c r="G50" i="2"/>
  <c r="E50" i="2"/>
  <c r="Q49" i="2"/>
  <c r="O49" i="2"/>
  <c r="L49" i="2"/>
  <c r="J49" i="2"/>
  <c r="G49" i="2"/>
  <c r="E49" i="2"/>
  <c r="Q48" i="2"/>
  <c r="O48" i="2"/>
  <c r="L48" i="2"/>
  <c r="J48" i="2"/>
  <c r="G48" i="2"/>
  <c r="E48" i="2"/>
  <c r="Q47" i="2"/>
  <c r="O47" i="2"/>
  <c r="L47" i="2"/>
  <c r="J47" i="2"/>
  <c r="G47" i="2"/>
  <c r="E47" i="2"/>
  <c r="Q46" i="2"/>
  <c r="O46" i="2"/>
  <c r="L46" i="2"/>
  <c r="J46" i="2"/>
  <c r="G46" i="2"/>
  <c r="E46" i="2"/>
  <c r="Q40" i="2"/>
  <c r="O40" i="2"/>
  <c r="L40" i="2"/>
  <c r="J40" i="2"/>
  <c r="G40" i="2"/>
  <c r="E40" i="2"/>
  <c r="Q39" i="2"/>
  <c r="O39" i="2"/>
  <c r="L39" i="2"/>
  <c r="J39" i="2"/>
  <c r="G39" i="2"/>
  <c r="E39" i="2"/>
  <c r="L38" i="2"/>
  <c r="J38" i="2"/>
  <c r="Q37" i="2"/>
  <c r="O37" i="2"/>
  <c r="L37" i="2"/>
  <c r="J37" i="2"/>
  <c r="G37" i="2"/>
  <c r="E37" i="2"/>
  <c r="Q36" i="2"/>
  <c r="O36" i="2"/>
  <c r="L36" i="2"/>
  <c r="J36" i="2"/>
  <c r="G36" i="2"/>
  <c r="E36" i="2"/>
  <c r="Q35" i="2"/>
  <c r="O35" i="2"/>
  <c r="L35" i="2"/>
  <c r="J35" i="2"/>
  <c r="G35" i="2"/>
  <c r="E35" i="2"/>
  <c r="Q34" i="2"/>
  <c r="O34" i="2"/>
  <c r="L34" i="2"/>
  <c r="J34" i="2"/>
  <c r="G34" i="2"/>
  <c r="E34" i="2"/>
  <c r="Q33" i="2"/>
  <c r="O33" i="2"/>
  <c r="L33" i="2"/>
  <c r="J33" i="2"/>
  <c r="G33" i="2"/>
  <c r="E33" i="2"/>
  <c r="AW32" i="2"/>
  <c r="Q28" i="2"/>
  <c r="O28" i="2"/>
  <c r="L28" i="2"/>
  <c r="J28" i="2"/>
  <c r="G28" i="2"/>
  <c r="E28" i="2"/>
  <c r="Q27" i="2"/>
  <c r="O27" i="2"/>
  <c r="L27" i="2"/>
  <c r="J27" i="2"/>
  <c r="G27" i="2"/>
  <c r="E27" i="2"/>
  <c r="Q26" i="2"/>
  <c r="O26" i="2"/>
  <c r="L26" i="2"/>
  <c r="J26" i="2"/>
  <c r="G26" i="2"/>
  <c r="E26" i="2"/>
  <c r="Q25" i="2"/>
  <c r="O25" i="2"/>
  <c r="L25" i="2"/>
  <c r="J25" i="2"/>
  <c r="G25" i="2"/>
  <c r="E25" i="2"/>
  <c r="Q24" i="2"/>
  <c r="O24" i="2"/>
  <c r="L24" i="2"/>
  <c r="J24" i="2"/>
  <c r="Q5" i="2"/>
  <c r="O5" i="2"/>
  <c r="L5" i="2"/>
  <c r="J5" i="2"/>
  <c r="Q23" i="2"/>
  <c r="O23" i="2"/>
  <c r="L23" i="2"/>
  <c r="J23" i="2"/>
  <c r="Q8" i="2"/>
  <c r="O8" i="2"/>
  <c r="L8" i="2"/>
  <c r="J8" i="2"/>
  <c r="G8" i="2"/>
  <c r="E8" i="2"/>
  <c r="G22" i="2"/>
  <c r="E22" i="2"/>
  <c r="Q21" i="2"/>
  <c r="O21" i="2"/>
  <c r="Q20" i="2"/>
  <c r="O20" i="2"/>
  <c r="L20" i="2"/>
  <c r="J20" i="2"/>
  <c r="G20" i="2"/>
  <c r="E20" i="2"/>
  <c r="Q17" i="2"/>
  <c r="O17" i="2"/>
  <c r="L17" i="2"/>
  <c r="J17" i="2"/>
  <c r="G17" i="2"/>
  <c r="E17" i="2"/>
  <c r="Q15" i="2"/>
  <c r="O15" i="2"/>
  <c r="L15" i="2"/>
  <c r="J15" i="2"/>
  <c r="G15" i="2"/>
  <c r="E15" i="2"/>
  <c r="Q14" i="2"/>
  <c r="L14" i="2"/>
  <c r="G14" i="2"/>
  <c r="Q13" i="2"/>
  <c r="O13" i="2"/>
  <c r="L13" i="2"/>
  <c r="J13" i="2"/>
  <c r="G13" i="2"/>
  <c r="E13" i="2"/>
  <c r="Q12" i="2"/>
  <c r="O12" i="2"/>
  <c r="L12" i="2"/>
  <c r="J12" i="2"/>
  <c r="G12" i="2"/>
  <c r="E12" i="2"/>
  <c r="Q10" i="2"/>
  <c r="O10" i="2"/>
  <c r="L10" i="2"/>
  <c r="J10" i="2"/>
  <c r="G10" i="2"/>
  <c r="E10" i="2"/>
  <c r="Q9" i="2"/>
  <c r="O9" i="2"/>
  <c r="L9" i="2"/>
  <c r="J9" i="2"/>
  <c r="G9" i="2"/>
  <c r="E9" i="2"/>
  <c r="Q4" i="2"/>
  <c r="O4" i="2"/>
  <c r="L4" i="2"/>
  <c r="J4" i="2"/>
  <c r="G4" i="2"/>
  <c r="E4" i="2"/>
  <c r="AW29" i="2"/>
  <c r="BA116" i="2"/>
  <c r="AY24" i="2"/>
  <c r="CW16" i="6"/>
  <c r="CV16" i="6"/>
  <c r="CU16" i="6"/>
  <c r="CT16" i="6"/>
  <c r="CS16" i="6"/>
  <c r="CR16" i="6"/>
  <c r="CR18" i="6" s="1"/>
  <c r="CR19" i="6" s="1"/>
  <c r="CR20" i="6" s="1"/>
  <c r="CR21" i="6" s="1"/>
  <c r="CR22" i="6" s="1"/>
  <c r="CQ16" i="6"/>
  <c r="CQ18" i="6" s="1"/>
  <c r="CQ19" i="6" s="1"/>
  <c r="CQ20" i="6" s="1"/>
  <c r="CQ21" i="6" s="1"/>
  <c r="CQ22" i="6" s="1"/>
  <c r="CP16" i="6"/>
  <c r="CO16" i="6"/>
  <c r="CN16" i="6"/>
  <c r="CM16" i="6"/>
  <c r="CL16" i="6"/>
  <c r="CL17" i="6" s="1"/>
  <c r="CL18" i="6" s="1"/>
  <c r="CL19" i="6" s="1"/>
  <c r="CL20" i="6" s="1"/>
  <c r="CL21" i="6" s="1"/>
  <c r="CL22" i="6" s="1"/>
  <c r="AW16" i="6"/>
  <c r="AV16" i="6"/>
  <c r="AU16" i="6"/>
  <c r="AT16" i="6"/>
  <c r="AS16" i="6"/>
  <c r="AR16" i="6"/>
  <c r="AQ16" i="6"/>
  <c r="AP16" i="6"/>
  <c r="AO16" i="6"/>
  <c r="AN16" i="6"/>
  <c r="AM16" i="6"/>
  <c r="AL16" i="6"/>
  <c r="AL18" i="6" s="1"/>
  <c r="AK16" i="6"/>
  <c r="AI16" i="6"/>
  <c r="AH16" i="6"/>
  <c r="AG16" i="6"/>
  <c r="AF16" i="6"/>
  <c r="AE16" i="6"/>
  <c r="AE17" i="6" s="1"/>
  <c r="AD16" i="6"/>
  <c r="AB16" i="6"/>
  <c r="AB18" i="6" s="1"/>
  <c r="Y16" i="6"/>
  <c r="X16" i="6"/>
  <c r="W15" i="6"/>
  <c r="W16" i="6" s="1"/>
  <c r="V16" i="6"/>
  <c r="V18" i="6" s="1"/>
  <c r="U16" i="6"/>
  <c r="T16" i="6"/>
  <c r="S16" i="6"/>
  <c r="S19" i="6" s="1"/>
  <c r="S20" i="6" s="1"/>
  <c r="S21" i="6" s="1"/>
  <c r="S22" i="6" s="1"/>
  <c r="R16" i="6"/>
  <c r="Q16" i="6"/>
  <c r="P16" i="6"/>
  <c r="P18" i="6" s="1"/>
  <c r="O16" i="6"/>
  <c r="N16" i="6"/>
  <c r="M16" i="6"/>
  <c r="M18" i="6" s="1"/>
  <c r="L16" i="6"/>
  <c r="K16" i="6"/>
  <c r="J16" i="6"/>
  <c r="I16" i="6"/>
  <c r="H16" i="6"/>
  <c r="G50" i="4" s="1"/>
  <c r="AZ6" i="3" s="1"/>
  <c r="G16" i="6"/>
  <c r="F16" i="6"/>
  <c r="F18" i="6" s="1"/>
  <c r="E16" i="6"/>
  <c r="E18" i="6" s="1"/>
  <c r="D16" i="6"/>
  <c r="C16" i="6"/>
  <c r="C18" i="6" s="1"/>
  <c r="BL16" i="6"/>
  <c r="CO18" i="6"/>
  <c r="AC18" i="6"/>
  <c r="AC19" i="6" s="1"/>
  <c r="AC20" i="6" s="1"/>
  <c r="AC21" i="6" s="1"/>
  <c r="AC22" i="6" s="1"/>
  <c r="Z18" i="6"/>
  <c r="Z19" i="6" s="1"/>
  <c r="Z20" i="6" s="1"/>
  <c r="Z21" i="6" s="1"/>
  <c r="Z22" i="6" s="1"/>
  <c r="CS18" i="6"/>
  <c r="BQ18" i="6"/>
  <c r="BH18" i="6"/>
  <c r="AY18" i="6"/>
  <c r="BV18" i="6"/>
  <c r="BU18" i="6"/>
  <c r="CB18" i="6"/>
  <c r="BT18" i="6"/>
  <c r="CA18" i="6"/>
  <c r="BS18" i="6"/>
  <c r="BK18" i="6"/>
  <c r="BZ18" i="6"/>
  <c r="BR18" i="6"/>
  <c r="BB18" i="6"/>
  <c r="U19" i="6"/>
  <c r="U20" i="6" s="1"/>
  <c r="U21" i="6" s="1"/>
  <c r="U22" i="6" s="1"/>
  <c r="BI18" i="6"/>
  <c r="BX18" i="6"/>
  <c r="BW18" i="6"/>
  <c r="BO18" i="6"/>
  <c r="C1866" i="4"/>
  <c r="A9" i="4"/>
  <c r="H1865" i="4"/>
  <c r="F1865" i="4"/>
  <c r="E1865" i="4" s="1"/>
  <c r="D1865" i="4"/>
  <c r="H1864" i="4"/>
  <c r="F1864" i="4"/>
  <c r="E1864" i="4" s="1"/>
  <c r="D1864" i="4"/>
  <c r="H1863" i="4"/>
  <c r="F1863" i="4"/>
  <c r="E1863" i="4" s="1"/>
  <c r="D1863" i="4"/>
  <c r="C1794" i="4"/>
  <c r="H1793" i="4"/>
  <c r="F1793" i="4"/>
  <c r="E1793" i="4" s="1"/>
  <c r="D1793" i="4"/>
  <c r="H1792" i="4"/>
  <c r="F1792" i="4"/>
  <c r="E1792" i="4" s="1"/>
  <c r="D1792" i="4"/>
  <c r="H1791" i="4"/>
  <c r="F1791" i="4"/>
  <c r="E1791" i="4" s="1"/>
  <c r="D1791" i="4"/>
  <c r="C1776" i="4"/>
  <c r="H1775" i="4"/>
  <c r="F1775" i="4"/>
  <c r="E1775" i="4" s="1"/>
  <c r="D1775" i="4"/>
  <c r="H1774" i="4"/>
  <c r="F1774" i="4"/>
  <c r="E1774" i="4" s="1"/>
  <c r="D1774" i="4"/>
  <c r="H1773" i="4"/>
  <c r="F1773" i="4"/>
  <c r="E1773" i="4" s="1"/>
  <c r="D1773" i="4"/>
  <c r="C1758" i="4"/>
  <c r="H1757" i="4"/>
  <c r="F1757" i="4"/>
  <c r="E1757" i="4" s="1"/>
  <c r="D1757" i="4"/>
  <c r="H1756" i="4"/>
  <c r="F1756" i="4"/>
  <c r="E1756" i="4" s="1"/>
  <c r="D1756" i="4"/>
  <c r="H1755" i="4"/>
  <c r="F1755" i="4"/>
  <c r="E1755" i="4" s="1"/>
  <c r="D1755" i="4"/>
  <c r="A14" i="4"/>
  <c r="C1740" i="4"/>
  <c r="H1739" i="4"/>
  <c r="F1739" i="4"/>
  <c r="E1739" i="4" s="1"/>
  <c r="D1739" i="4"/>
  <c r="H1738" i="4"/>
  <c r="F1738" i="4"/>
  <c r="E1738" i="4" s="1"/>
  <c r="D1738" i="4"/>
  <c r="H1737" i="4"/>
  <c r="F1737" i="4"/>
  <c r="E1737" i="4" s="1"/>
  <c r="D1737" i="4"/>
  <c r="C1722" i="4"/>
  <c r="H1721" i="4"/>
  <c r="F1721" i="4"/>
  <c r="E1721" i="4" s="1"/>
  <c r="D1721" i="4"/>
  <c r="H1720" i="4"/>
  <c r="F1720" i="4"/>
  <c r="E1720" i="4" s="1"/>
  <c r="D1720" i="4"/>
  <c r="H1719" i="4"/>
  <c r="F1719" i="4"/>
  <c r="E1719" i="4" s="1"/>
  <c r="D1719" i="4"/>
  <c r="C1704" i="4"/>
  <c r="H1703" i="4"/>
  <c r="F1703" i="4"/>
  <c r="E1703" i="4" s="1"/>
  <c r="D1703" i="4"/>
  <c r="H1702" i="4"/>
  <c r="F1702" i="4"/>
  <c r="E1702" i="4" s="1"/>
  <c r="D1702" i="4"/>
  <c r="H1701" i="4"/>
  <c r="F1701" i="4"/>
  <c r="E1701" i="4" s="1"/>
  <c r="D1701" i="4"/>
  <c r="F1697" i="4"/>
  <c r="F1696" i="4"/>
  <c r="F1695" i="4"/>
  <c r="F1694" i="4"/>
  <c r="E1691" i="4"/>
  <c r="C1691" i="4"/>
  <c r="C1692" i="4" s="1"/>
  <c r="C1693" i="4" s="1"/>
  <c r="C1694" i="4" s="1"/>
  <c r="C1695" i="4" s="1"/>
  <c r="C1696" i="4" s="1"/>
  <c r="C1697" i="4" s="1"/>
  <c r="H1690" i="4"/>
  <c r="F1690" i="4"/>
  <c r="E1690" i="4" s="1"/>
  <c r="D1690" i="4"/>
  <c r="H1689" i="4"/>
  <c r="F1689" i="4"/>
  <c r="E1689" i="4" s="1"/>
  <c r="D1689" i="4"/>
  <c r="H1688" i="4"/>
  <c r="F1688" i="4"/>
  <c r="E1688" i="4" s="1"/>
  <c r="D1688" i="4"/>
  <c r="F1684" i="4"/>
  <c r="F1683" i="4"/>
  <c r="F1682" i="4"/>
  <c r="H1678" i="4"/>
  <c r="S1660" i="4" s="1"/>
  <c r="F1678" i="4"/>
  <c r="D1678" i="4"/>
  <c r="C1678" i="4"/>
  <c r="C1679" i="4" s="1"/>
  <c r="C1680" i="4" s="1"/>
  <c r="C1681" i="4" s="1"/>
  <c r="C1682" i="4" s="1"/>
  <c r="C1683" i="4" s="1"/>
  <c r="C1684" i="4" s="1"/>
  <c r="H1677" i="4"/>
  <c r="F1677" i="4"/>
  <c r="E1677" i="4" s="1"/>
  <c r="D1677" i="4"/>
  <c r="H1676" i="4"/>
  <c r="F1676" i="4"/>
  <c r="E1676" i="4" s="1"/>
  <c r="D1676" i="4"/>
  <c r="H1675" i="4"/>
  <c r="F1675" i="4"/>
  <c r="E1675" i="4" s="1"/>
  <c r="D1675" i="4"/>
  <c r="C1660" i="4"/>
  <c r="H1659" i="4"/>
  <c r="F1659" i="4"/>
  <c r="D1659" i="4"/>
  <c r="H1658" i="4"/>
  <c r="F1658" i="4"/>
  <c r="D1658" i="4"/>
  <c r="H1657" i="4"/>
  <c r="F1657" i="4"/>
  <c r="D1657" i="4"/>
  <c r="C1642" i="4"/>
  <c r="H1641" i="4"/>
  <c r="F1641" i="4"/>
  <c r="E1641" i="4" s="1"/>
  <c r="D1641" i="4"/>
  <c r="H1640" i="4"/>
  <c r="F1640" i="4"/>
  <c r="E1640" i="4" s="1"/>
  <c r="D1640" i="4"/>
  <c r="H1639" i="4"/>
  <c r="F1639" i="4"/>
  <c r="E1639" i="4" s="1"/>
  <c r="D1639" i="4"/>
  <c r="G1710" i="4"/>
  <c r="AZ100" i="2" s="1"/>
  <c r="G571" i="4"/>
  <c r="AP38" i="3" s="1"/>
  <c r="G570" i="4"/>
  <c r="AK38" i="3" s="1"/>
  <c r="G1396" i="4"/>
  <c r="AZ75" i="2" s="1"/>
  <c r="G658" i="4"/>
  <c r="AZ43" i="3" s="1"/>
  <c r="G1000" i="4"/>
  <c r="G1090" i="4"/>
  <c r="AZ70" i="3" s="1"/>
  <c r="G1054" i="4"/>
  <c r="AZ67" i="3" s="1"/>
  <c r="G421" i="4"/>
  <c r="AZ29" i="3" s="1"/>
  <c r="G302" i="4"/>
  <c r="AZ21" i="3" s="1"/>
  <c r="G506" i="4"/>
  <c r="G1504" i="4"/>
  <c r="AZ82" i="2" s="1"/>
  <c r="G1162" i="4"/>
  <c r="AZ74" i="3" s="1"/>
  <c r="D1318" i="4"/>
  <c r="E568" i="4"/>
  <c r="H333" i="4"/>
  <c r="S315" i="4" s="1"/>
  <c r="R315" i="4" s="1"/>
  <c r="E333" i="4"/>
  <c r="D333" i="4"/>
  <c r="O315" i="4" s="1"/>
  <c r="P315" i="4" s="1"/>
  <c r="F390" i="4"/>
  <c r="E390" i="4" s="1"/>
  <c r="D390" i="4"/>
  <c r="H377" i="4"/>
  <c r="F377" i="4"/>
  <c r="E377" i="4" s="1"/>
  <c r="D377" i="4"/>
  <c r="C1624" i="4"/>
  <c r="H1623" i="4"/>
  <c r="F1623" i="4"/>
  <c r="E1623" i="4" s="1"/>
  <c r="D1623" i="4"/>
  <c r="H1622" i="4"/>
  <c r="F1622" i="4"/>
  <c r="E1622" i="4" s="1"/>
  <c r="D1622" i="4"/>
  <c r="H1621" i="4"/>
  <c r="F1621" i="4"/>
  <c r="E1621" i="4" s="1"/>
  <c r="D1621" i="4"/>
  <c r="C1606" i="4"/>
  <c r="H1605" i="4"/>
  <c r="F1605" i="4"/>
  <c r="D1605" i="4"/>
  <c r="Q1605" i="4" s="1"/>
  <c r="H1604" i="4"/>
  <c r="F1604" i="4"/>
  <c r="D1604" i="4"/>
  <c r="H1603" i="4"/>
  <c r="F1603" i="4"/>
  <c r="D1603" i="4"/>
  <c r="C1588" i="4"/>
  <c r="H1587" i="4"/>
  <c r="F1587" i="4"/>
  <c r="E1587" i="4" s="1"/>
  <c r="D1587" i="4"/>
  <c r="H1586" i="4"/>
  <c r="F1586" i="4"/>
  <c r="E1586" i="4" s="1"/>
  <c r="D1586" i="4"/>
  <c r="H1585" i="4"/>
  <c r="F1585" i="4"/>
  <c r="E1585" i="4" s="1"/>
  <c r="D1585" i="4"/>
  <c r="C1570" i="4"/>
  <c r="H1569" i="4"/>
  <c r="F1569" i="4"/>
  <c r="E1569" i="4" s="1"/>
  <c r="D1569" i="4"/>
  <c r="H1568" i="4"/>
  <c r="F1568" i="4"/>
  <c r="E1568" i="4" s="1"/>
  <c r="D1568" i="4"/>
  <c r="H1567" i="4"/>
  <c r="F1567" i="4"/>
  <c r="E1567" i="4" s="1"/>
  <c r="D1567" i="4"/>
  <c r="G1228" i="4"/>
  <c r="C1552" i="4"/>
  <c r="H1551" i="4"/>
  <c r="F1551" i="4"/>
  <c r="D1551" i="4"/>
  <c r="Q1065" i="4" s="1"/>
  <c r="H1550" i="4"/>
  <c r="F1550" i="4"/>
  <c r="D1550" i="4"/>
  <c r="Q1064" i="4" s="1"/>
  <c r="H1549" i="4"/>
  <c r="F1549" i="4"/>
  <c r="D1549" i="4"/>
  <c r="Q1063" i="4" s="1"/>
  <c r="C1534" i="4"/>
  <c r="H1533" i="4"/>
  <c r="F1533" i="4"/>
  <c r="D1533" i="4"/>
  <c r="Q1047" i="4" s="1"/>
  <c r="H1532" i="4"/>
  <c r="F1532" i="4"/>
  <c r="D1532" i="4"/>
  <c r="Q1046" i="4" s="1"/>
  <c r="H1531" i="4"/>
  <c r="F1531" i="4"/>
  <c r="D1531" i="4"/>
  <c r="Q1045" i="4" s="1"/>
  <c r="H1516" i="4"/>
  <c r="F1516" i="4"/>
  <c r="D1516" i="4"/>
  <c r="C1516" i="4"/>
  <c r="H1515" i="4"/>
  <c r="F1515" i="4"/>
  <c r="D1515" i="4"/>
  <c r="Q1029" i="4" s="1"/>
  <c r="H1514" i="4"/>
  <c r="F1514" i="4"/>
  <c r="D1514" i="4"/>
  <c r="Q1028" i="4" s="1"/>
  <c r="H1513" i="4"/>
  <c r="F1513" i="4"/>
  <c r="D1513" i="4"/>
  <c r="Q1027" i="4" s="1"/>
  <c r="C1498" i="4"/>
  <c r="H1497" i="4"/>
  <c r="F1497" i="4"/>
  <c r="D1497" i="4"/>
  <c r="Q1011" i="4" s="1"/>
  <c r="H1496" i="4"/>
  <c r="F1496" i="4"/>
  <c r="D1496" i="4"/>
  <c r="Q1010" i="4" s="1"/>
  <c r="H1495" i="4"/>
  <c r="F1495" i="4"/>
  <c r="D1495" i="4"/>
  <c r="Q1009" i="4" s="1"/>
  <c r="C1480" i="4"/>
  <c r="H1479" i="4"/>
  <c r="F1479" i="4"/>
  <c r="E1479" i="4" s="1"/>
  <c r="D1479" i="4"/>
  <c r="H1478" i="4"/>
  <c r="F1478" i="4"/>
  <c r="E1478" i="4" s="1"/>
  <c r="D1478" i="4"/>
  <c r="H1477" i="4"/>
  <c r="F1477" i="4"/>
  <c r="E1477" i="4" s="1"/>
  <c r="D1477" i="4"/>
  <c r="C1462" i="4"/>
  <c r="H1461" i="4"/>
  <c r="F1461" i="4"/>
  <c r="D1461" i="4"/>
  <c r="Q975" i="4" s="1"/>
  <c r="H1460" i="4"/>
  <c r="F1460" i="4"/>
  <c r="D1460" i="4"/>
  <c r="Q974" i="4" s="1"/>
  <c r="H1459" i="4"/>
  <c r="F1459" i="4"/>
  <c r="D1459" i="4"/>
  <c r="Q973" i="4" s="1"/>
  <c r="C1444" i="4"/>
  <c r="H1443" i="4"/>
  <c r="F1443" i="4"/>
  <c r="D1443" i="4"/>
  <c r="Q957" i="4" s="1"/>
  <c r="H1442" i="4"/>
  <c r="F1442" i="4"/>
  <c r="D1442" i="4"/>
  <c r="Q956" i="4" s="1"/>
  <c r="H1441" i="4"/>
  <c r="F1441" i="4"/>
  <c r="D1441" i="4"/>
  <c r="Q955" i="4" s="1"/>
  <c r="C1426" i="4"/>
  <c r="H1425" i="4"/>
  <c r="F1425" i="4"/>
  <c r="D1425" i="4"/>
  <c r="Q939" i="4" s="1"/>
  <c r="H1424" i="4"/>
  <c r="F1424" i="4"/>
  <c r="D1424" i="4"/>
  <c r="Q938" i="4" s="1"/>
  <c r="H1423" i="4"/>
  <c r="F1423" i="4"/>
  <c r="D1423" i="4"/>
  <c r="Q937" i="4" s="1"/>
  <c r="C1408" i="4"/>
  <c r="H1407" i="4"/>
  <c r="F1407" i="4"/>
  <c r="D1407" i="4"/>
  <c r="Q921" i="4" s="1"/>
  <c r="H1406" i="4"/>
  <c r="F1406" i="4"/>
  <c r="D1406" i="4"/>
  <c r="Q920" i="4" s="1"/>
  <c r="H1405" i="4"/>
  <c r="F1405" i="4"/>
  <c r="D1405" i="4"/>
  <c r="Q919" i="4" s="1"/>
  <c r="C1390" i="4"/>
  <c r="H1389" i="4"/>
  <c r="F1389" i="4"/>
  <c r="D1389" i="4"/>
  <c r="Q903" i="4" s="1"/>
  <c r="H1388" i="4"/>
  <c r="F1388" i="4"/>
  <c r="D1388" i="4"/>
  <c r="Q902" i="4" s="1"/>
  <c r="H1387" i="4"/>
  <c r="F1387" i="4"/>
  <c r="D1387" i="4"/>
  <c r="Q901" i="4" s="1"/>
  <c r="C1372" i="4"/>
  <c r="H1371" i="4"/>
  <c r="F1371" i="4"/>
  <c r="S885" i="4" s="1"/>
  <c r="D1371" i="4"/>
  <c r="H1370" i="4"/>
  <c r="F1370" i="4"/>
  <c r="S884" i="4" s="1"/>
  <c r="D1370" i="4"/>
  <c r="H1369" i="4"/>
  <c r="F1369" i="4"/>
  <c r="S883" i="4" s="1"/>
  <c r="D1369" i="4"/>
  <c r="H1354" i="4"/>
  <c r="F1354" i="4"/>
  <c r="D1354" i="4"/>
  <c r="Q868" i="4" s="1"/>
  <c r="C1354" i="4"/>
  <c r="H1353" i="4"/>
  <c r="F1353" i="4"/>
  <c r="D1353" i="4"/>
  <c r="Q867" i="4" s="1"/>
  <c r="H1352" i="4"/>
  <c r="F1352" i="4"/>
  <c r="D1352" i="4"/>
  <c r="Q866" i="4" s="1"/>
  <c r="H1351" i="4"/>
  <c r="F1351" i="4"/>
  <c r="D1351" i="4"/>
  <c r="Q865" i="4" s="1"/>
  <c r="H1336" i="4"/>
  <c r="F1336" i="4"/>
  <c r="S850" i="4" s="1"/>
  <c r="D1336" i="4"/>
  <c r="Q850" i="4" s="1"/>
  <c r="C1336" i="4"/>
  <c r="H1335" i="4"/>
  <c r="F1335" i="4"/>
  <c r="S849" i="4" s="1"/>
  <c r="D1335" i="4"/>
  <c r="Q849" i="4" s="1"/>
  <c r="H1334" i="4"/>
  <c r="F1334" i="4"/>
  <c r="S848" i="4" s="1"/>
  <c r="D1334" i="4"/>
  <c r="Q848" i="4" s="1"/>
  <c r="H1333" i="4"/>
  <c r="F1333" i="4"/>
  <c r="S847" i="4" s="1"/>
  <c r="D1333" i="4"/>
  <c r="Q847" i="4" s="1"/>
  <c r="H1318" i="4"/>
  <c r="F1318" i="4"/>
  <c r="C1318" i="4"/>
  <c r="H1317" i="4"/>
  <c r="F1317" i="4"/>
  <c r="D1317" i="4"/>
  <c r="Q831" i="4" s="1"/>
  <c r="H1316" i="4"/>
  <c r="F1316" i="4"/>
  <c r="D1316" i="4"/>
  <c r="Q830" i="4" s="1"/>
  <c r="H1315" i="4"/>
  <c r="F1315" i="4"/>
  <c r="D1315" i="4"/>
  <c r="Q829" i="4" s="1"/>
  <c r="H1264" i="4"/>
  <c r="F1264" i="4"/>
  <c r="D1264" i="4"/>
  <c r="D1265" i="4" s="1"/>
  <c r="C1264" i="4"/>
  <c r="H1263" i="4"/>
  <c r="F1263" i="4"/>
  <c r="D1263" i="4"/>
  <c r="H1262" i="4"/>
  <c r="F1262" i="4"/>
  <c r="D1262" i="4"/>
  <c r="H1261" i="4"/>
  <c r="F1261" i="4"/>
  <c r="D1261" i="4"/>
  <c r="C1300" i="4"/>
  <c r="H1283" i="4"/>
  <c r="H1282" i="4"/>
  <c r="C1282" i="4"/>
  <c r="C1283" i="4" s="1"/>
  <c r="C1284" i="4" s="1"/>
  <c r="H1281" i="4"/>
  <c r="H1280" i="4"/>
  <c r="H1279" i="4"/>
  <c r="E651" i="4"/>
  <c r="E649" i="4"/>
  <c r="E567" i="4"/>
  <c r="E566" i="4"/>
  <c r="E565" i="4"/>
  <c r="E564" i="4"/>
  <c r="E535" i="4"/>
  <c r="E534" i="4"/>
  <c r="E533" i="4"/>
  <c r="E517" i="4"/>
  <c r="E516" i="4"/>
  <c r="E515" i="4"/>
  <c r="E499" i="4"/>
  <c r="E498" i="4"/>
  <c r="E497" i="4"/>
  <c r="E486" i="4"/>
  <c r="E485" i="4"/>
  <c r="E484" i="4"/>
  <c r="H450" i="4"/>
  <c r="F450" i="4"/>
  <c r="H449" i="4"/>
  <c r="F449" i="4"/>
  <c r="H448" i="4"/>
  <c r="F448" i="4"/>
  <c r="E399" i="4"/>
  <c r="F389" i="4"/>
  <c r="E389" i="4" s="1"/>
  <c r="F388" i="4"/>
  <c r="E388" i="4" s="1"/>
  <c r="F387" i="4"/>
  <c r="E387" i="4" s="1"/>
  <c r="F386" i="4"/>
  <c r="E386" i="4" s="1"/>
  <c r="H376" i="4"/>
  <c r="F376" i="4"/>
  <c r="E376" i="4" s="1"/>
  <c r="H375" i="4"/>
  <c r="F375" i="4"/>
  <c r="E375" i="4" s="1"/>
  <c r="H374" i="4"/>
  <c r="F374" i="4"/>
  <c r="E374" i="4" s="1"/>
  <c r="H373" i="4"/>
  <c r="F373" i="4"/>
  <c r="E373" i="4" s="1"/>
  <c r="E355" i="4"/>
  <c r="E344" i="4"/>
  <c r="E343" i="4"/>
  <c r="E342" i="4"/>
  <c r="H332" i="4"/>
  <c r="S314" i="4" s="1"/>
  <c r="R314" i="4" s="1"/>
  <c r="E332" i="4"/>
  <c r="H331" i="4"/>
  <c r="S313" i="4" s="1"/>
  <c r="F331" i="4"/>
  <c r="H330" i="4"/>
  <c r="S312" i="4" s="1"/>
  <c r="F330" i="4"/>
  <c r="H329" i="4"/>
  <c r="S311" i="4" s="1"/>
  <c r="F329" i="4"/>
  <c r="E276" i="4"/>
  <c r="E275" i="4"/>
  <c r="E259" i="4"/>
  <c r="E258" i="4"/>
  <c r="E240" i="4"/>
  <c r="E239" i="4"/>
  <c r="E187" i="4"/>
  <c r="E186" i="4"/>
  <c r="E185" i="4"/>
  <c r="F1247" i="4"/>
  <c r="Z79" i="3" s="1"/>
  <c r="H1246" i="4"/>
  <c r="F1246" i="4"/>
  <c r="H1245" i="4"/>
  <c r="F1245" i="4"/>
  <c r="H1244" i="4"/>
  <c r="F1244" i="4"/>
  <c r="H1243" i="4"/>
  <c r="F1243" i="4"/>
  <c r="D389" i="4"/>
  <c r="D388" i="4"/>
  <c r="D387" i="4"/>
  <c r="D386" i="4"/>
  <c r="D376" i="4"/>
  <c r="D375" i="4"/>
  <c r="D374" i="4"/>
  <c r="D373" i="4"/>
  <c r="D332" i="4"/>
  <c r="O314" i="4" s="1"/>
  <c r="P314" i="4" s="1"/>
  <c r="D331" i="4"/>
  <c r="O313" i="4" s="1"/>
  <c r="D330" i="4"/>
  <c r="O312" i="4" s="1"/>
  <c r="D329" i="4"/>
  <c r="O311" i="4" s="1"/>
  <c r="D115" i="4"/>
  <c r="N14" i="2" s="1"/>
  <c r="O14" i="2" s="1"/>
  <c r="D114" i="4"/>
  <c r="I14" i="2" s="1"/>
  <c r="J14" i="2" s="1"/>
  <c r="D113" i="4"/>
  <c r="D14" i="2" s="1"/>
  <c r="E14" i="2" s="1"/>
  <c r="C1246" i="4"/>
  <c r="C1228" i="4"/>
  <c r="C1210" i="4"/>
  <c r="C1192" i="4"/>
  <c r="C1174" i="4"/>
  <c r="C1156" i="4"/>
  <c r="C1138" i="4"/>
  <c r="C1120" i="4"/>
  <c r="C1102" i="4"/>
  <c r="C1084" i="4"/>
  <c r="C1066" i="4"/>
  <c r="C1048" i="4"/>
  <c r="C1030" i="4"/>
  <c r="C1012" i="4"/>
  <c r="C994" i="4"/>
  <c r="C976" i="4"/>
  <c r="C958" i="4"/>
  <c r="C940" i="4"/>
  <c r="C922" i="4"/>
  <c r="C904" i="4"/>
  <c r="C886" i="4"/>
  <c r="C868" i="4"/>
  <c r="C850" i="4"/>
  <c r="C832" i="4"/>
  <c r="C814" i="4"/>
  <c r="C796" i="4"/>
  <c r="C778" i="4"/>
  <c r="C760" i="4"/>
  <c r="C742" i="4"/>
  <c r="C724" i="4"/>
  <c r="C706" i="4"/>
  <c r="C688" i="4"/>
  <c r="C670" i="4"/>
  <c r="C652" i="4"/>
  <c r="C634" i="4"/>
  <c r="C616" i="4"/>
  <c r="C598" i="4"/>
  <c r="C580" i="4"/>
  <c r="C567" i="4"/>
  <c r="C568" i="4" s="1"/>
  <c r="C569" i="4" s="1"/>
  <c r="C570" i="4" s="1"/>
  <c r="C571" i="4" s="1"/>
  <c r="C572" i="4" s="1"/>
  <c r="C573" i="4" s="1"/>
  <c r="C549" i="4"/>
  <c r="C536" i="4"/>
  <c r="C537" i="4" s="1"/>
  <c r="C538" i="4" s="1"/>
  <c r="C539" i="4" s="1"/>
  <c r="C540" i="4" s="1"/>
  <c r="C541" i="4" s="1"/>
  <c r="C542" i="4" s="1"/>
  <c r="C518" i="4"/>
  <c r="C519" i="4" s="1"/>
  <c r="C520" i="4" s="1"/>
  <c r="C521" i="4" s="1"/>
  <c r="C522" i="4" s="1"/>
  <c r="C523" i="4" s="1"/>
  <c r="C524" i="4" s="1"/>
  <c r="C525" i="4" s="1"/>
  <c r="C526" i="4" s="1"/>
  <c r="C527" i="4" s="1"/>
  <c r="C528" i="4" s="1"/>
  <c r="C529" i="4" s="1"/>
  <c r="C500" i="4"/>
  <c r="C487" i="4"/>
  <c r="C488" i="4" s="1"/>
  <c r="C489" i="4" s="1"/>
  <c r="C490" i="4" s="1"/>
  <c r="C491" i="4" s="1"/>
  <c r="C492" i="4" s="1"/>
  <c r="C493" i="4" s="1"/>
  <c r="C469" i="4"/>
  <c r="C451" i="4"/>
  <c r="C433" i="4"/>
  <c r="C415" i="4"/>
  <c r="C402" i="4"/>
  <c r="C403" i="4" s="1"/>
  <c r="C404" i="4" s="1"/>
  <c r="C405" i="4" s="1"/>
  <c r="C406" i="4" s="1"/>
  <c r="C407" i="4" s="1"/>
  <c r="C408" i="4" s="1"/>
  <c r="C389" i="4"/>
  <c r="C390" i="4" s="1"/>
  <c r="C391" i="4" s="1"/>
  <c r="C392" i="4" s="1"/>
  <c r="C393" i="4" s="1"/>
  <c r="C394" i="4" s="1"/>
  <c r="C395" i="4" s="1"/>
  <c r="C376" i="4"/>
  <c r="C377" i="4" s="1"/>
  <c r="C378" i="4" s="1"/>
  <c r="C379" i="4" s="1"/>
  <c r="C380" i="4" s="1"/>
  <c r="C381" i="4" s="1"/>
  <c r="C382" i="4" s="1"/>
  <c r="C358" i="4"/>
  <c r="C345" i="4"/>
  <c r="C346" i="4" s="1"/>
  <c r="C347" i="4" s="1"/>
  <c r="C348" i="4" s="1"/>
  <c r="C349" i="4" s="1"/>
  <c r="C350" i="4" s="1"/>
  <c r="C351" i="4" s="1"/>
  <c r="C332" i="4"/>
  <c r="C333" i="4" s="1"/>
  <c r="C334" i="4" s="1"/>
  <c r="C335" i="4" s="1"/>
  <c r="C336" i="4" s="1"/>
  <c r="C337" i="4" s="1"/>
  <c r="C338" i="4" s="1"/>
  <c r="C314" i="4"/>
  <c r="C296" i="4"/>
  <c r="C248" i="4"/>
  <c r="C249" i="4" s="1"/>
  <c r="C250" i="4" s="1"/>
  <c r="C251" i="4" s="1"/>
  <c r="C252" i="4" s="1"/>
  <c r="C253" i="4" s="1"/>
  <c r="C263" i="4"/>
  <c r="C278" i="4"/>
  <c r="C279" i="4" s="1"/>
  <c r="C280" i="4" s="1"/>
  <c r="C281" i="4" s="1"/>
  <c r="C282" i="4" s="1"/>
  <c r="C283" i="4" s="1"/>
  <c r="C284" i="4" s="1"/>
  <c r="C285" i="4" s="1"/>
  <c r="C286" i="4" s="1"/>
  <c r="C287" i="4" s="1"/>
  <c r="C288" i="4" s="1"/>
  <c r="C289" i="4" s="1"/>
  <c r="C224" i="4"/>
  <c r="F391" i="4"/>
  <c r="AE27" i="3" s="1"/>
  <c r="C188" i="4"/>
  <c r="C170" i="4"/>
  <c r="G115" i="4"/>
  <c r="E78" i="4"/>
  <c r="E42" i="4"/>
  <c r="E41" i="4"/>
  <c r="F395" i="4"/>
  <c r="AY27" i="3" s="1"/>
  <c r="F394" i="4"/>
  <c r="AT27" i="3" s="1"/>
  <c r="F393" i="4"/>
  <c r="AO27" i="3" s="1"/>
  <c r="F392" i="4"/>
  <c r="AJ27" i="3" s="1"/>
  <c r="C134" i="4"/>
  <c r="C116" i="4"/>
  <c r="C98" i="4"/>
  <c r="C80" i="4"/>
  <c r="C44" i="4"/>
  <c r="C26" i="4"/>
  <c r="C9" i="4"/>
  <c r="F380" i="4"/>
  <c r="AO26" i="3" s="1"/>
  <c r="F381" i="4"/>
  <c r="AT26" i="3" s="1"/>
  <c r="F378" i="4"/>
  <c r="AE26" i="3" s="1"/>
  <c r="F382" i="4"/>
  <c r="AY26" i="3" s="1"/>
  <c r="F379" i="4"/>
  <c r="AJ26" i="3" s="1"/>
  <c r="R80" i="3"/>
  <c r="R82" i="3" s="1"/>
  <c r="R90" i="3" s="1"/>
  <c r="H80" i="3"/>
  <c r="H82" i="3" s="1"/>
  <c r="H90" i="3" s="1"/>
  <c r="J14" i="3"/>
  <c r="J13" i="3"/>
  <c r="L14" i="3"/>
  <c r="L13" i="3"/>
  <c r="L22" i="3"/>
  <c r="Q78" i="3"/>
  <c r="O78" i="3"/>
  <c r="Q70" i="3"/>
  <c r="Q71" i="3"/>
  <c r="Q72" i="3"/>
  <c r="Q73" i="3"/>
  <c r="Q74" i="3"/>
  <c r="Q75" i="3"/>
  <c r="Q76" i="3"/>
  <c r="Q77" i="3"/>
  <c r="O70" i="3"/>
  <c r="O71" i="3"/>
  <c r="O72" i="3"/>
  <c r="O73" i="3"/>
  <c r="O74" i="3"/>
  <c r="O75" i="3"/>
  <c r="O76" i="3"/>
  <c r="O77" i="3"/>
  <c r="Q68" i="3"/>
  <c r="O68" i="3"/>
  <c r="Q67" i="3"/>
  <c r="Q66" i="3"/>
  <c r="O67" i="3"/>
  <c r="O66" i="3"/>
  <c r="Q55" i="3"/>
  <c r="Q56" i="3"/>
  <c r="Q57" i="3"/>
  <c r="Q58" i="3"/>
  <c r="Q59" i="3"/>
  <c r="Q60" i="3"/>
  <c r="Q61" i="3"/>
  <c r="Q62" i="3"/>
  <c r="Q63" i="3"/>
  <c r="Q64" i="3"/>
  <c r="Q65" i="3"/>
  <c r="O55" i="3"/>
  <c r="O56" i="3"/>
  <c r="O57" i="3"/>
  <c r="O58" i="3"/>
  <c r="O59" i="3"/>
  <c r="O60" i="3"/>
  <c r="O61" i="3"/>
  <c r="O62" i="3"/>
  <c r="O63" i="3"/>
  <c r="O64" i="3"/>
  <c r="O65" i="3"/>
  <c r="Q47" i="3"/>
  <c r="Q48" i="3"/>
  <c r="Q49" i="3"/>
  <c r="Q50" i="3"/>
  <c r="Q51" i="3"/>
  <c r="Q52" i="3"/>
  <c r="O47" i="3"/>
  <c r="O48" i="3"/>
  <c r="O49" i="3"/>
  <c r="O50" i="3"/>
  <c r="O51" i="3"/>
  <c r="O52" i="3"/>
  <c r="Q46" i="3"/>
  <c r="O46" i="3"/>
  <c r="Q45" i="3"/>
  <c r="Q44" i="3"/>
  <c r="O45" i="3"/>
  <c r="O44" i="3"/>
  <c r="Q42" i="3"/>
  <c r="Q41" i="3"/>
  <c r="Q40" i="3"/>
  <c r="Q39" i="3"/>
  <c r="O42" i="3"/>
  <c r="O41" i="3"/>
  <c r="O40" i="3"/>
  <c r="O39" i="3"/>
  <c r="Q37" i="3"/>
  <c r="O37" i="3"/>
  <c r="Q29" i="3"/>
  <c r="Q30" i="3"/>
  <c r="Q31" i="3"/>
  <c r="Q32" i="3"/>
  <c r="O29" i="3"/>
  <c r="O30" i="3"/>
  <c r="O31" i="3"/>
  <c r="O32" i="3"/>
  <c r="Q28" i="3"/>
  <c r="O28" i="3"/>
  <c r="Q25" i="3"/>
  <c r="O25" i="3"/>
  <c r="Q22" i="3"/>
  <c r="O22" i="3"/>
  <c r="Q21" i="3"/>
  <c r="O21" i="3"/>
  <c r="Q20" i="3"/>
  <c r="O20" i="3"/>
  <c r="O18" i="3"/>
  <c r="Q18" i="3"/>
  <c r="Q17" i="3"/>
  <c r="O17" i="3"/>
  <c r="Q12" i="3"/>
  <c r="Q13" i="3"/>
  <c r="O12" i="3"/>
  <c r="O13" i="3"/>
  <c r="Q10" i="3"/>
  <c r="O10" i="3"/>
  <c r="J42" i="3"/>
  <c r="E42" i="3"/>
  <c r="G42" i="3"/>
  <c r="L42" i="3"/>
  <c r="L39" i="3"/>
  <c r="L21" i="3"/>
  <c r="L25" i="3"/>
  <c r="L28" i="3"/>
  <c r="L29" i="3"/>
  <c r="L30" i="3"/>
  <c r="L31" i="3"/>
  <c r="L32" i="3"/>
  <c r="L37" i="3"/>
  <c r="L40" i="3"/>
  <c r="L41" i="3"/>
  <c r="L43" i="3"/>
  <c r="L44" i="3"/>
  <c r="L45" i="3"/>
  <c r="L46" i="3"/>
  <c r="L47" i="3"/>
  <c r="L48" i="3"/>
  <c r="L49" i="3"/>
  <c r="L50" i="3"/>
  <c r="L51" i="3"/>
  <c r="L52" i="3"/>
  <c r="L55" i="3"/>
  <c r="L56" i="3"/>
  <c r="L57" i="3"/>
  <c r="L58" i="3"/>
  <c r="L59" i="3"/>
  <c r="L60" i="3"/>
  <c r="L61" i="3"/>
  <c r="L62" i="3"/>
  <c r="L63" i="3"/>
  <c r="L64" i="3"/>
  <c r="L65" i="3"/>
  <c r="L66" i="3"/>
  <c r="L67" i="3"/>
  <c r="L68" i="3"/>
  <c r="L70" i="3"/>
  <c r="L71" i="3"/>
  <c r="L72" i="3"/>
  <c r="L73" i="3"/>
  <c r="L74" i="3"/>
  <c r="L75" i="3"/>
  <c r="L76" i="3"/>
  <c r="L77" i="3"/>
  <c r="L78" i="3"/>
  <c r="J21" i="3"/>
  <c r="J22" i="3"/>
  <c r="J25" i="3"/>
  <c r="J28" i="3"/>
  <c r="J29" i="3"/>
  <c r="J30" i="3"/>
  <c r="J31" i="3"/>
  <c r="J32" i="3"/>
  <c r="J37" i="3"/>
  <c r="J39" i="3"/>
  <c r="J40" i="3"/>
  <c r="J41" i="3"/>
  <c r="J43" i="3"/>
  <c r="J44" i="3"/>
  <c r="J45" i="3"/>
  <c r="J46" i="3"/>
  <c r="J47" i="3"/>
  <c r="J48" i="3"/>
  <c r="J49" i="3"/>
  <c r="J50" i="3"/>
  <c r="J51" i="3"/>
  <c r="J52" i="3"/>
  <c r="J55" i="3"/>
  <c r="J56" i="3"/>
  <c r="J57" i="3"/>
  <c r="J58" i="3"/>
  <c r="J59" i="3"/>
  <c r="J60" i="3"/>
  <c r="J61" i="3"/>
  <c r="J62" i="3"/>
  <c r="J63" i="3"/>
  <c r="J64" i="3"/>
  <c r="J65" i="3"/>
  <c r="J66" i="3"/>
  <c r="J67" i="3"/>
  <c r="J68" i="3"/>
  <c r="J70" i="3"/>
  <c r="J71" i="3"/>
  <c r="J72" i="3"/>
  <c r="J73" i="3"/>
  <c r="J74" i="3"/>
  <c r="J75" i="3"/>
  <c r="J76" i="3"/>
  <c r="J77" i="3"/>
  <c r="J78" i="3"/>
  <c r="L17" i="3"/>
  <c r="J17" i="3"/>
  <c r="L10" i="3"/>
  <c r="J10" i="3"/>
  <c r="L4" i="3"/>
  <c r="J4" i="3"/>
  <c r="G78" i="3"/>
  <c r="E78" i="3"/>
  <c r="G70" i="3"/>
  <c r="G71" i="3"/>
  <c r="G72" i="3"/>
  <c r="G73" i="3"/>
  <c r="G74" i="3"/>
  <c r="G75" i="3"/>
  <c r="G76" i="3"/>
  <c r="G77" i="3"/>
  <c r="E70" i="3"/>
  <c r="E71" i="3"/>
  <c r="E72" i="3"/>
  <c r="E73" i="3"/>
  <c r="E74" i="3"/>
  <c r="E75" i="3"/>
  <c r="E76" i="3"/>
  <c r="E77" i="3"/>
  <c r="G68" i="3"/>
  <c r="E68" i="3"/>
  <c r="G55" i="3"/>
  <c r="G56" i="3"/>
  <c r="G57" i="3"/>
  <c r="G58" i="3"/>
  <c r="G59" i="3"/>
  <c r="G60" i="3"/>
  <c r="G61" i="3"/>
  <c r="G62" i="3"/>
  <c r="G63" i="3"/>
  <c r="G64" i="3"/>
  <c r="G65" i="3"/>
  <c r="G66" i="3"/>
  <c r="G67" i="3"/>
  <c r="E55" i="3"/>
  <c r="E56" i="3"/>
  <c r="E57" i="3"/>
  <c r="E58" i="3"/>
  <c r="E59" i="3"/>
  <c r="E60" i="3"/>
  <c r="E61" i="3"/>
  <c r="E62" i="3"/>
  <c r="E63" i="3"/>
  <c r="E64" i="3"/>
  <c r="E65" i="3"/>
  <c r="E66" i="3"/>
  <c r="E67" i="3"/>
  <c r="G51" i="3"/>
  <c r="G52" i="3"/>
  <c r="E51" i="3"/>
  <c r="E52" i="3"/>
  <c r="G50" i="3"/>
  <c r="G41" i="3"/>
  <c r="G44" i="3"/>
  <c r="G45" i="3"/>
  <c r="G46" i="3"/>
  <c r="G47" i="3"/>
  <c r="G48" i="3"/>
  <c r="G49" i="3"/>
  <c r="E41" i="3"/>
  <c r="E44" i="3"/>
  <c r="E45" i="3"/>
  <c r="E46" i="3"/>
  <c r="E47" i="3"/>
  <c r="E48" i="3"/>
  <c r="E49" i="3"/>
  <c r="E50" i="3"/>
  <c r="G37" i="3"/>
  <c r="G39" i="3"/>
  <c r="G40" i="3"/>
  <c r="E37" i="3"/>
  <c r="E39" i="3"/>
  <c r="E40" i="3"/>
  <c r="G31" i="3"/>
  <c r="G32" i="3"/>
  <c r="E31" i="3"/>
  <c r="E32" i="3"/>
  <c r="G21" i="3"/>
  <c r="G29" i="3"/>
  <c r="G30" i="3"/>
  <c r="E21" i="3"/>
  <c r="E29" i="3"/>
  <c r="E30" i="3"/>
  <c r="G17" i="3"/>
  <c r="E17" i="3"/>
  <c r="G19" i="3"/>
  <c r="E19" i="3"/>
  <c r="G10" i="3"/>
  <c r="E10" i="3"/>
  <c r="G4" i="3"/>
  <c r="E4" i="3"/>
  <c r="M82" i="3"/>
  <c r="M90" i="3" s="1"/>
  <c r="H84" i="3"/>
  <c r="M84" i="3"/>
  <c r="R84" i="3"/>
  <c r="H91" i="3"/>
  <c r="M91" i="3"/>
  <c r="R91" i="3"/>
  <c r="H94" i="3"/>
  <c r="M94" i="3"/>
  <c r="R94" i="3"/>
  <c r="H95" i="3"/>
  <c r="M95" i="3"/>
  <c r="R95" i="3"/>
  <c r="A4" i="3"/>
  <c r="G9" i="3"/>
  <c r="E9" i="3"/>
  <c r="Q4" i="3"/>
  <c r="O4" i="3"/>
  <c r="Q15" i="3"/>
  <c r="Q14" i="3"/>
  <c r="Q9" i="3"/>
  <c r="Q8" i="3"/>
  <c r="Q7" i="3"/>
  <c r="Q6" i="3"/>
  <c r="Q5" i="3"/>
  <c r="L6" i="3"/>
  <c r="L7" i="3"/>
  <c r="L8" i="3"/>
  <c r="L9" i="3"/>
  <c r="L15" i="3"/>
  <c r="L5" i="3"/>
  <c r="O15" i="3"/>
  <c r="O14" i="3"/>
  <c r="O9" i="3"/>
  <c r="O8" i="3"/>
  <c r="O7" i="3"/>
  <c r="O6" i="3"/>
  <c r="O5" i="3"/>
  <c r="J6" i="3"/>
  <c r="J7" i="3"/>
  <c r="J8" i="3"/>
  <c r="J9" i="3"/>
  <c r="J15" i="3"/>
  <c r="J5" i="3"/>
  <c r="G15" i="3"/>
  <c r="E15" i="3"/>
  <c r="E8" i="3"/>
  <c r="G8" i="3"/>
  <c r="G7" i="3"/>
  <c r="E7" i="3"/>
  <c r="E6" i="3"/>
  <c r="G6" i="3"/>
  <c r="E5" i="3"/>
  <c r="G5" i="3"/>
  <c r="D8" i="5"/>
  <c r="R120" i="2" s="1"/>
  <c r="R126" i="2" s="1"/>
  <c r="D9" i="5"/>
  <c r="R121" i="2" s="1"/>
  <c r="R129" i="2" s="1"/>
  <c r="C14" i="5"/>
  <c r="D14" i="5" s="1"/>
  <c r="E14" i="5" s="1"/>
  <c r="F14" i="5" s="1"/>
  <c r="G14" i="5" s="1"/>
  <c r="H14" i="5" s="1"/>
  <c r="I14" i="5" s="1"/>
  <c r="J14" i="5" s="1"/>
  <c r="K14" i="5" s="1"/>
  <c r="L14" i="5" s="1"/>
  <c r="M14" i="5" s="1"/>
  <c r="N14" i="5" s="1"/>
  <c r="O14" i="5" s="1"/>
  <c r="P14" i="5" s="1"/>
  <c r="C6" i="5"/>
  <c r="M118" i="2" s="1"/>
  <c r="C5" i="5"/>
  <c r="D6" i="5"/>
  <c r="R118" i="2" s="1"/>
  <c r="D5" i="5"/>
  <c r="A8" i="4"/>
  <c r="B6" i="5"/>
  <c r="H118" i="2" s="1"/>
  <c r="B5" i="5"/>
  <c r="H116" i="2" s="1"/>
  <c r="C4" i="5"/>
  <c r="D4" i="5" s="1"/>
  <c r="E4" i="5" s="1"/>
  <c r="B8" i="5"/>
  <c r="H120" i="2" s="1"/>
  <c r="H126" i="2" s="1"/>
  <c r="C8" i="5"/>
  <c r="M120" i="2" s="1"/>
  <c r="M126" i="2" s="1"/>
  <c r="B9" i="5"/>
  <c r="C9" i="5"/>
  <c r="M121" i="2" s="1"/>
  <c r="M129" i="2" s="1"/>
  <c r="B10" i="5"/>
  <c r="H122" i="2" s="1"/>
  <c r="H130" i="2" s="1"/>
  <c r="C10" i="5"/>
  <c r="M122" i="2" s="1"/>
  <c r="M130" i="2" s="1"/>
  <c r="D10" i="5"/>
  <c r="R122" i="2" s="1"/>
  <c r="R130" i="2" s="1"/>
  <c r="AB130" i="2"/>
  <c r="AZ841" i="4" l="1"/>
  <c r="D1076" i="4" s="1"/>
  <c r="BA841" i="4"/>
  <c r="D1562" i="4" s="1"/>
  <c r="AZ840" i="4"/>
  <c r="D1616" i="4" s="1"/>
  <c r="BA840" i="4"/>
  <c r="D1634" i="4" s="1"/>
  <c r="BA839" i="4"/>
  <c r="AZ839" i="4"/>
  <c r="D1040" i="4" s="1"/>
  <c r="BA837" i="4"/>
  <c r="D1508" i="4" s="1"/>
  <c r="AZ837" i="4"/>
  <c r="D1022" i="4" s="1"/>
  <c r="AZ834" i="4"/>
  <c r="D968" i="4" s="1"/>
  <c r="BA834" i="4"/>
  <c r="D1454" i="4" s="1"/>
  <c r="AZ828" i="4"/>
  <c r="D860" i="4" s="1"/>
  <c r="BA828" i="4"/>
  <c r="D1346" i="4" s="1"/>
  <c r="AZ836" i="4"/>
  <c r="D1004" i="4" s="1"/>
  <c r="BA836" i="4"/>
  <c r="D1490" i="4" s="1"/>
  <c r="BA832" i="4"/>
  <c r="D1418" i="4" s="1"/>
  <c r="AZ832" i="4"/>
  <c r="D932" i="4" s="1"/>
  <c r="AZ827" i="4"/>
  <c r="BA827" i="4"/>
  <c r="AY842" i="4"/>
  <c r="BA835" i="4"/>
  <c r="D1472" i="4" s="1"/>
  <c r="AZ835" i="4"/>
  <c r="D986" i="4" s="1"/>
  <c r="BA838" i="4"/>
  <c r="D1544" i="4" s="1"/>
  <c r="AZ838" i="4"/>
  <c r="D1058" i="4" s="1"/>
  <c r="AZ830" i="4"/>
  <c r="D896" i="4" s="1"/>
  <c r="BA830" i="4"/>
  <c r="D1382" i="4" s="1"/>
  <c r="D841" i="4"/>
  <c r="AW842" i="4"/>
  <c r="D843" i="4"/>
  <c r="BC842" i="4"/>
  <c r="BD842" i="4"/>
  <c r="AZ833" i="4"/>
  <c r="D950" i="4" s="1"/>
  <c r="BA833" i="4"/>
  <c r="D1436" i="4" s="1"/>
  <c r="BA831" i="4"/>
  <c r="D1400" i="4" s="1"/>
  <c r="AZ831" i="4"/>
  <c r="D914" i="4" s="1"/>
  <c r="AX842" i="4"/>
  <c r="N1623" i="4"/>
  <c r="N1621" i="4"/>
  <c r="N1622" i="4"/>
  <c r="Q1030" i="4"/>
  <c r="N1624" i="4"/>
  <c r="H121" i="2"/>
  <c r="H129" i="2" s="1"/>
  <c r="A212" i="4"/>
  <c r="B213" i="4" s="1"/>
  <c r="A1998" i="4"/>
  <c r="B1999" i="4" s="1"/>
  <c r="A1980" i="4"/>
  <c r="B1981" i="4" s="1"/>
  <c r="A2016" i="4"/>
  <c r="B2017" i="4" s="1"/>
  <c r="A1962" i="4"/>
  <c r="B1963" i="4" s="1"/>
  <c r="H119" i="2"/>
  <c r="A206" i="4"/>
  <c r="A2010" i="4"/>
  <c r="A1992" i="4"/>
  <c r="A1974" i="4"/>
  <c r="A1956" i="4"/>
  <c r="A207" i="4"/>
  <c r="A1975" i="4"/>
  <c r="A1957" i="4"/>
  <c r="A1993" i="4"/>
  <c r="A2011" i="4"/>
  <c r="E1405" i="4"/>
  <c r="S919" i="4"/>
  <c r="R919" i="4" s="1"/>
  <c r="E1354" i="4"/>
  <c r="S868" i="4"/>
  <c r="R868" i="4" s="1"/>
  <c r="Q993" i="4"/>
  <c r="Q885" i="4"/>
  <c r="R885" i="4" s="1"/>
  <c r="E1388" i="4"/>
  <c r="S902" i="4"/>
  <c r="R902" i="4" s="1"/>
  <c r="Q1603" i="4"/>
  <c r="O1658" i="4"/>
  <c r="Q992" i="4"/>
  <c r="Q884" i="4"/>
  <c r="R884" i="4" s="1"/>
  <c r="E1425" i="4"/>
  <c r="S939" i="4"/>
  <c r="R939" i="4" s="1"/>
  <c r="E1605" i="4"/>
  <c r="S1605" i="4"/>
  <c r="R1605" i="4" s="1"/>
  <c r="E1352" i="4"/>
  <c r="S866" i="4"/>
  <c r="R866" i="4" s="1"/>
  <c r="E1423" i="4"/>
  <c r="S937" i="4"/>
  <c r="R937" i="4" s="1"/>
  <c r="E1443" i="4"/>
  <c r="S957" i="4"/>
  <c r="R957" i="4" s="1"/>
  <c r="E1603" i="4"/>
  <c r="S1603" i="4"/>
  <c r="R1603" i="4" s="1"/>
  <c r="E1387" i="4"/>
  <c r="S901" i="4"/>
  <c r="R901" i="4" s="1"/>
  <c r="E1351" i="4"/>
  <c r="S865" i="4"/>
  <c r="R865" i="4" s="1"/>
  <c r="E1442" i="4"/>
  <c r="S956" i="4"/>
  <c r="R956" i="4" s="1"/>
  <c r="E1406" i="4"/>
  <c r="S920" i="4"/>
  <c r="R920" i="4" s="1"/>
  <c r="E1389" i="4"/>
  <c r="S903" i="4"/>
  <c r="R903" i="4" s="1"/>
  <c r="E1441" i="4"/>
  <c r="S955" i="4"/>
  <c r="R955" i="4" s="1"/>
  <c r="Q1604" i="4"/>
  <c r="O1659" i="4"/>
  <c r="E1407" i="4"/>
  <c r="S921" i="4"/>
  <c r="R921" i="4" s="1"/>
  <c r="Q991" i="4"/>
  <c r="Q883" i="4"/>
  <c r="R883" i="4" s="1"/>
  <c r="E1353" i="4"/>
  <c r="S867" i="4"/>
  <c r="R867" i="4" s="1"/>
  <c r="E1424" i="4"/>
  <c r="S938" i="4"/>
  <c r="R938" i="4" s="1"/>
  <c r="E1604" i="4"/>
  <c r="S1604" i="4"/>
  <c r="R1604" i="4" s="1"/>
  <c r="E1513" i="4"/>
  <c r="S1027" i="4"/>
  <c r="R1027" i="4" s="1"/>
  <c r="E1334" i="4"/>
  <c r="R848" i="4"/>
  <c r="E1315" i="4"/>
  <c r="S829" i="4"/>
  <c r="R829" i="4" s="1"/>
  <c r="E1459" i="4"/>
  <c r="S973" i="4"/>
  <c r="R973" i="4" s="1"/>
  <c r="E1318" i="4"/>
  <c r="S832" i="4"/>
  <c r="E1370" i="4"/>
  <c r="S992" i="4"/>
  <c r="E1514" i="4"/>
  <c r="S1028" i="4"/>
  <c r="R1028" i="4" s="1"/>
  <c r="E1533" i="4"/>
  <c r="S1047" i="4"/>
  <c r="R1047" i="4" s="1"/>
  <c r="E1335" i="4"/>
  <c r="R849" i="4"/>
  <c r="E1497" i="4"/>
  <c r="S1011" i="4"/>
  <c r="R1011" i="4" s="1"/>
  <c r="S1657" i="4"/>
  <c r="E1317" i="4"/>
  <c r="S831" i="4"/>
  <c r="R831" i="4" s="1"/>
  <c r="E1369" i="4"/>
  <c r="S991" i="4"/>
  <c r="R991" i="4" s="1"/>
  <c r="E1532" i="4"/>
  <c r="S1046" i="4"/>
  <c r="R1046" i="4" s="1"/>
  <c r="Q832" i="4"/>
  <c r="E1316" i="4"/>
  <c r="S830" i="4"/>
  <c r="R830" i="4" s="1"/>
  <c r="E1333" i="4"/>
  <c r="E1371" i="4"/>
  <c r="S993" i="4"/>
  <c r="E1495" i="4"/>
  <c r="S1009" i="4"/>
  <c r="R1009" i="4" s="1"/>
  <c r="E1515" i="4"/>
  <c r="S1029" i="4"/>
  <c r="R1029" i="4" s="1"/>
  <c r="E1336" i="4"/>
  <c r="R850" i="4"/>
  <c r="E1461" i="4"/>
  <c r="S975" i="4"/>
  <c r="R975" i="4" s="1"/>
  <c r="E1496" i="4"/>
  <c r="S1010" i="4"/>
  <c r="R1010" i="4" s="1"/>
  <c r="E1516" i="4"/>
  <c r="S1030" i="4"/>
  <c r="R1030" i="4" s="1"/>
  <c r="E1550" i="4"/>
  <c r="S1064" i="4"/>
  <c r="R1064" i="4" s="1"/>
  <c r="E1460" i="4"/>
  <c r="S974" i="4"/>
  <c r="R974" i="4" s="1"/>
  <c r="E1531" i="4"/>
  <c r="S1045" i="4"/>
  <c r="R1045" i="4" s="1"/>
  <c r="E1551" i="4"/>
  <c r="S1065" i="4"/>
  <c r="R1065" i="4" s="1"/>
  <c r="E1549" i="4"/>
  <c r="S1063" i="4"/>
  <c r="R1063" i="4" s="1"/>
  <c r="S1658" i="4"/>
  <c r="E1658" i="4"/>
  <c r="Q1658" i="4"/>
  <c r="P1658" i="4" s="1"/>
  <c r="D1679" i="4"/>
  <c r="O1661" i="4" s="1"/>
  <c r="O1660" i="4"/>
  <c r="E1657" i="4"/>
  <c r="Q1657" i="4"/>
  <c r="P1657" i="4" s="1"/>
  <c r="E1678" i="4"/>
  <c r="Q1660" i="4"/>
  <c r="E1659" i="4"/>
  <c r="Q1659" i="4"/>
  <c r="P1659" i="4" s="1"/>
  <c r="B207" i="4"/>
  <c r="O1657" i="4"/>
  <c r="S1659" i="4"/>
  <c r="E19" i="6"/>
  <c r="G285" i="4"/>
  <c r="G572" i="4"/>
  <c r="AU38" i="3" s="1"/>
  <c r="Q1664" i="4"/>
  <c r="Q1665" i="4"/>
  <c r="E330" i="4"/>
  <c r="Q312" i="4"/>
  <c r="P312" i="4" s="1"/>
  <c r="E331" i="4"/>
  <c r="Q313" i="4"/>
  <c r="P313" i="4" s="1"/>
  <c r="A6" i="4"/>
  <c r="A1936" i="4" s="1"/>
  <c r="M116" i="2"/>
  <c r="E329" i="4"/>
  <c r="Q311" i="4"/>
  <c r="P311" i="4" s="1"/>
  <c r="A7" i="4"/>
  <c r="R116" i="2"/>
  <c r="A1944" i="4"/>
  <c r="B1945" i="4" s="1"/>
  <c r="A1836" i="4"/>
  <c r="A1818" i="4"/>
  <c r="A1854" i="4"/>
  <c r="A1938" i="4"/>
  <c r="A1830" i="4"/>
  <c r="A1848" i="4"/>
  <c r="A1812" i="4"/>
  <c r="A1939" i="4"/>
  <c r="A1813" i="4"/>
  <c r="A1831" i="4"/>
  <c r="A1849" i="4"/>
  <c r="E113" i="4"/>
  <c r="G1354" i="4"/>
  <c r="G1460" i="4"/>
  <c r="G1568" i="4"/>
  <c r="G1316" i="4"/>
  <c r="G1388" i="4"/>
  <c r="G1551" i="4"/>
  <c r="G390" i="4"/>
  <c r="G1587" i="4"/>
  <c r="G1335" i="4"/>
  <c r="G1425" i="4"/>
  <c r="G1497" i="4"/>
  <c r="G377" i="4"/>
  <c r="G1675" i="4"/>
  <c r="G1461" i="4"/>
  <c r="G1336" i="4"/>
  <c r="G1389" i="4"/>
  <c r="G1532" i="4"/>
  <c r="G1865" i="4"/>
  <c r="G1317" i="4"/>
  <c r="G1108" i="4"/>
  <c r="AZ71" i="3" s="1"/>
  <c r="G1253" i="4"/>
  <c r="BE96" i="2" s="1"/>
  <c r="G1252" i="4"/>
  <c r="AZ96" i="2" s="1"/>
  <c r="G910" i="4"/>
  <c r="AZ59" i="3" s="1"/>
  <c r="G1144" i="4"/>
  <c r="AZ88" i="2" s="1"/>
  <c r="G820" i="4"/>
  <c r="AZ52" i="3" s="1"/>
  <c r="G1594" i="4"/>
  <c r="AZ94" i="2" s="1"/>
  <c r="G1630" i="4"/>
  <c r="AZ77" i="2" s="1"/>
  <c r="G1414" i="4"/>
  <c r="AZ76" i="2" s="1"/>
  <c r="G622" i="4"/>
  <c r="AZ41" i="3" s="1"/>
  <c r="K18" i="6"/>
  <c r="K19" i="6" s="1"/>
  <c r="G122" i="4"/>
  <c r="AZ9" i="3" s="1"/>
  <c r="G1216" i="4"/>
  <c r="AZ77" i="3" s="1"/>
  <c r="G1180" i="4"/>
  <c r="AZ75" i="3" s="1"/>
  <c r="G1126" i="4"/>
  <c r="AZ72" i="3" s="1"/>
  <c r="G766" i="4"/>
  <c r="AZ49" i="3" s="1"/>
  <c r="G1468" i="4"/>
  <c r="AZ80" i="2" s="1"/>
  <c r="G364" i="4"/>
  <c r="AZ5" i="2" s="1"/>
  <c r="G1782" i="4"/>
  <c r="AZ103" i="2" s="1"/>
  <c r="AZ66" i="2"/>
  <c r="AZ64" i="3"/>
  <c r="AZ30" i="2"/>
  <c r="AZ34" i="3"/>
  <c r="G1739" i="4"/>
  <c r="G186" i="4"/>
  <c r="G223" i="4"/>
  <c r="G276" i="4"/>
  <c r="G295" i="4"/>
  <c r="G331" i="4"/>
  <c r="G344" i="4"/>
  <c r="G373" i="4"/>
  <c r="G386" i="4"/>
  <c r="G399" i="4"/>
  <c r="G432" i="4"/>
  <c r="G485" i="4"/>
  <c r="G499" i="4"/>
  <c r="G533" i="4"/>
  <c r="K542" i="4"/>
  <c r="G547" i="4"/>
  <c r="G579" i="4"/>
  <c r="G632" i="4"/>
  <c r="G651" i="4"/>
  <c r="G704" i="4"/>
  <c r="G723" i="4"/>
  <c r="G794" i="4"/>
  <c r="G813" i="4"/>
  <c r="G866" i="4"/>
  <c r="G885" i="4"/>
  <c r="G938" i="4"/>
  <c r="G957" i="4"/>
  <c r="G993" i="4"/>
  <c r="G1046" i="4"/>
  <c r="G1065" i="4"/>
  <c r="G1118" i="4"/>
  <c r="G1137" i="4"/>
  <c r="G1190" i="4"/>
  <c r="G1209" i="4"/>
  <c r="G1703" i="4"/>
  <c r="G1757" i="4"/>
  <c r="E79" i="4"/>
  <c r="E168" i="4"/>
  <c r="E277" i="4"/>
  <c r="E414" i="4"/>
  <c r="E614" i="4"/>
  <c r="E705" i="4"/>
  <c r="E776" i="4"/>
  <c r="E848" i="4"/>
  <c r="E867" i="4"/>
  <c r="E920" i="4"/>
  <c r="E939" i="4"/>
  <c r="E1028" i="4"/>
  <c r="E1047" i="4"/>
  <c r="E1100" i="4"/>
  <c r="E1119" i="4"/>
  <c r="E1172" i="4"/>
  <c r="E1191" i="4"/>
  <c r="H117" i="2"/>
  <c r="H125" i="2" s="1"/>
  <c r="H127" i="2" s="1"/>
  <c r="G1738" i="4"/>
  <c r="G1531" i="4"/>
  <c r="G97" i="4"/>
  <c r="G1369" i="4"/>
  <c r="G1441" i="4"/>
  <c r="G1513" i="4"/>
  <c r="E43" i="4"/>
  <c r="E72" i="4" s="1"/>
  <c r="E132" i="4"/>
  <c r="E169" i="4"/>
  <c r="E401" i="4"/>
  <c r="E449" i="4"/>
  <c r="E468" i="4"/>
  <c r="E596" i="4"/>
  <c r="E615" i="4"/>
  <c r="E668" i="4"/>
  <c r="E687" i="4"/>
  <c r="E721" i="4"/>
  <c r="E740" i="4"/>
  <c r="E759" i="4"/>
  <c r="E830" i="4"/>
  <c r="E921" i="4"/>
  <c r="E974" i="4"/>
  <c r="E1029" i="4"/>
  <c r="E1082" i="4"/>
  <c r="E1173" i="4"/>
  <c r="G1658" i="4"/>
  <c r="G1688" i="4"/>
  <c r="G1567" i="4"/>
  <c r="E114" i="4"/>
  <c r="G1719" i="4"/>
  <c r="G1773" i="4"/>
  <c r="E241" i="4"/>
  <c r="E294" i="4"/>
  <c r="K493" i="4"/>
  <c r="G1405" i="4"/>
  <c r="G1477" i="4"/>
  <c r="G1604" i="4"/>
  <c r="G1639" i="4"/>
  <c r="G1659" i="4"/>
  <c r="G1689" i="4"/>
  <c r="X18" i="6"/>
  <c r="G457" i="4"/>
  <c r="G784" i="4"/>
  <c r="G86" i="4"/>
  <c r="AZ7" i="3" s="1"/>
  <c r="G573" i="4"/>
  <c r="AZ38" i="3" s="1"/>
  <c r="AE18" i="6"/>
  <c r="AE19" i="6" s="1"/>
  <c r="AE20" i="6" s="1"/>
  <c r="AE21" i="6" s="1"/>
  <c r="AE22" i="6" s="1"/>
  <c r="AN18" i="6"/>
  <c r="G712" i="4"/>
  <c r="G1288" i="4"/>
  <c r="AZ54" i="3" s="1"/>
  <c r="AV18" i="6"/>
  <c r="G439" i="4"/>
  <c r="AZ30" i="3" s="1"/>
  <c r="AO19" i="6"/>
  <c r="G731" i="4"/>
  <c r="BE47" i="2" s="1"/>
  <c r="G266" i="4"/>
  <c r="Q18" i="6"/>
  <c r="E6" i="4"/>
  <c r="E131" i="4"/>
  <c r="E313" i="4"/>
  <c r="E400" i="4"/>
  <c r="E467" i="4"/>
  <c r="E548" i="4"/>
  <c r="E633" i="4"/>
  <c r="E686" i="4"/>
  <c r="E758" i="4"/>
  <c r="E795" i="4"/>
  <c r="G1333" i="4"/>
  <c r="G1352" i="4"/>
  <c r="G1371" i="4"/>
  <c r="G1423" i="4"/>
  <c r="G1443" i="4"/>
  <c r="G1495" i="4"/>
  <c r="G1515" i="4"/>
  <c r="G1622" i="4"/>
  <c r="G333" i="4"/>
  <c r="G1540" i="4"/>
  <c r="AZ84" i="2" s="1"/>
  <c r="G1558" i="4"/>
  <c r="AZ70" i="2" s="1"/>
  <c r="G1641" i="4"/>
  <c r="G1678" i="4"/>
  <c r="G1701" i="4"/>
  <c r="G1721" i="4"/>
  <c r="G1755" i="4"/>
  <c r="G1775" i="4"/>
  <c r="G1792" i="4"/>
  <c r="G1863" i="4"/>
  <c r="G892" i="4"/>
  <c r="BA18" i="6"/>
  <c r="BI19" i="6"/>
  <c r="G1019" i="4"/>
  <c r="BE67" i="2" s="1"/>
  <c r="CH19" i="6"/>
  <c r="G1199" i="4"/>
  <c r="BE92" i="2" s="1"/>
  <c r="G32" i="4"/>
  <c r="G18" i="6"/>
  <c r="G946" i="4"/>
  <c r="BE18" i="6"/>
  <c r="G964" i="4"/>
  <c r="BF18" i="6"/>
  <c r="G1001" i="4"/>
  <c r="BE66" i="2" s="1"/>
  <c r="BH19" i="6"/>
  <c r="G249" i="4"/>
  <c r="BE21" i="2" s="1"/>
  <c r="P19" i="6"/>
  <c r="G104" i="4"/>
  <c r="CW19" i="6"/>
  <c r="G1783" i="4"/>
  <c r="BE103" i="2" s="1"/>
  <c r="R96" i="3"/>
  <c r="G168" i="4"/>
  <c r="G187" i="4"/>
  <c r="G239" i="4"/>
  <c r="G258" i="4"/>
  <c r="G277" i="4"/>
  <c r="G313" i="4"/>
  <c r="G332" i="4"/>
  <c r="G355" i="4"/>
  <c r="G374" i="4"/>
  <c r="G387" i="4"/>
  <c r="G400" i="4"/>
  <c r="G467" i="4"/>
  <c r="G486" i="4"/>
  <c r="G515" i="4"/>
  <c r="G534" i="4"/>
  <c r="G548" i="4"/>
  <c r="G614" i="4"/>
  <c r="G633" i="4"/>
  <c r="G686" i="4"/>
  <c r="G705" i="4"/>
  <c r="G758" i="4"/>
  <c r="G776" i="4"/>
  <c r="G795" i="4"/>
  <c r="G848" i="4"/>
  <c r="G867" i="4"/>
  <c r="G920" i="4"/>
  <c r="G939" i="4"/>
  <c r="G1028" i="4"/>
  <c r="G1047" i="4"/>
  <c r="G1100" i="4"/>
  <c r="G1119" i="4"/>
  <c r="G1172" i="4"/>
  <c r="G1191" i="4"/>
  <c r="E1226" i="4"/>
  <c r="G1406" i="4"/>
  <c r="G1478" i="4"/>
  <c r="G1549" i="4"/>
  <c r="G1585" i="4"/>
  <c r="G1605" i="4"/>
  <c r="G1360" i="4"/>
  <c r="AZ73" i="2" s="1"/>
  <c r="G1198" i="4"/>
  <c r="G1432" i="4"/>
  <c r="AZ78" i="2" s="1"/>
  <c r="G1676" i="4"/>
  <c r="G1691" i="4"/>
  <c r="CG19" i="6"/>
  <c r="G1181" i="4"/>
  <c r="BE91" i="2" s="1"/>
  <c r="G194" i="4"/>
  <c r="N18" i="6"/>
  <c r="G1324" i="4"/>
  <c r="AZ71" i="2" s="1"/>
  <c r="BM18" i="6"/>
  <c r="BV19" i="6"/>
  <c r="G1469" i="4"/>
  <c r="BE80" i="2" s="1"/>
  <c r="BQ19" i="6"/>
  <c r="G1397" i="4"/>
  <c r="BE75" i="2" s="1"/>
  <c r="CS19" i="6"/>
  <c r="G1711" i="4"/>
  <c r="BE100" i="2" s="1"/>
  <c r="G365" i="4"/>
  <c r="BE5" i="2" s="1"/>
  <c r="C19" i="6"/>
  <c r="G821" i="4"/>
  <c r="BE52" i="2" s="1"/>
  <c r="AT19" i="6"/>
  <c r="CI19" i="6"/>
  <c r="G1217" i="4"/>
  <c r="BE93" i="2" s="1"/>
  <c r="G838" i="4"/>
  <c r="AZ55" i="3" s="1"/>
  <c r="AX18" i="6"/>
  <c r="E849" i="4"/>
  <c r="E1227" i="4"/>
  <c r="G1342" i="4"/>
  <c r="AZ72" i="2" s="1"/>
  <c r="BN18" i="6"/>
  <c r="G1559" i="4"/>
  <c r="BE70" i="2" s="1"/>
  <c r="BL19" i="6"/>
  <c r="CD19" i="6"/>
  <c r="G1145" i="4"/>
  <c r="BE88" i="2" s="1"/>
  <c r="G240" i="4"/>
  <c r="G356" i="4"/>
  <c r="G535" i="4"/>
  <c r="G668" i="4"/>
  <c r="G777" i="4"/>
  <c r="G1029" i="4"/>
  <c r="G1173" i="4"/>
  <c r="G1334" i="4"/>
  <c r="G1496" i="4"/>
  <c r="G1623" i="4"/>
  <c r="G1361" i="4"/>
  <c r="BE73" i="2" s="1"/>
  <c r="BO19" i="6"/>
  <c r="E95" i="4"/>
  <c r="E115" i="4"/>
  <c r="E7" i="4"/>
  <c r="E133" i="4"/>
  <c r="E222" i="4"/>
  <c r="E357" i="4"/>
  <c r="E431" i="4"/>
  <c r="E450" i="4"/>
  <c r="E578" i="4"/>
  <c r="E597" i="4"/>
  <c r="E650" i="4"/>
  <c r="E659" i="4" s="1"/>
  <c r="E669" i="4"/>
  <c r="E722" i="4"/>
  <c r="E741" i="4"/>
  <c r="E760" i="4"/>
  <c r="E812" i="4"/>
  <c r="E831" i="4"/>
  <c r="E884" i="4"/>
  <c r="E903" i="4"/>
  <c r="E956" i="4"/>
  <c r="E975" i="4"/>
  <c r="E1011" i="4"/>
  <c r="E1064" i="4"/>
  <c r="E1083" i="4"/>
  <c r="E1136" i="4"/>
  <c r="E1155" i="4"/>
  <c r="E1208" i="4"/>
  <c r="G1315" i="4"/>
  <c r="G1387" i="4"/>
  <c r="G1407" i="4"/>
  <c r="G1459" i="4"/>
  <c r="G1479" i="4"/>
  <c r="G1516" i="4"/>
  <c r="G1550" i="4"/>
  <c r="G1586" i="4"/>
  <c r="E761" i="4"/>
  <c r="G176" i="4"/>
  <c r="AZ15" i="3" s="1"/>
  <c r="G694" i="4"/>
  <c r="G856" i="4"/>
  <c r="AZ56" i="3" s="1"/>
  <c r="G248" i="4"/>
  <c r="G1657" i="4"/>
  <c r="G1677" i="4"/>
  <c r="G1737" i="4"/>
  <c r="G1505" i="4"/>
  <c r="BE82" i="2" s="1"/>
  <c r="BX19" i="6"/>
  <c r="BB19" i="6"/>
  <c r="G911" i="4"/>
  <c r="BE60" i="2" s="1"/>
  <c r="BK19" i="6"/>
  <c r="G1055" i="4"/>
  <c r="BE69" i="2" s="1"/>
  <c r="CB19" i="6"/>
  <c r="G1109" i="4"/>
  <c r="BE86" i="2" s="1"/>
  <c r="G982" i="4"/>
  <c r="AZ63" i="3" s="1"/>
  <c r="BG18" i="6"/>
  <c r="G303" i="4"/>
  <c r="BE8" i="2" s="1"/>
  <c r="F19" i="6"/>
  <c r="V19" i="6"/>
  <c r="G422" i="4"/>
  <c r="BE25" i="2" s="1"/>
  <c r="G1072" i="4"/>
  <c r="AW18" i="6"/>
  <c r="BZ19" i="6"/>
  <c r="G1541" i="4"/>
  <c r="BE84" i="2" s="1"/>
  <c r="G641" i="4"/>
  <c r="BE37" i="2" s="1"/>
  <c r="AI19" i="6"/>
  <c r="E902" i="4"/>
  <c r="E1010" i="4"/>
  <c r="E1154" i="4"/>
  <c r="BW19" i="6"/>
  <c r="G1487" i="4"/>
  <c r="BE81" i="2" s="1"/>
  <c r="G695" i="4"/>
  <c r="BE40" i="2" s="1"/>
  <c r="AL19" i="6"/>
  <c r="BU19" i="6"/>
  <c r="G1451" i="4"/>
  <c r="BE79" i="2" s="1"/>
  <c r="G140" i="4"/>
  <c r="AZ10" i="3" s="1"/>
  <c r="L18" i="6"/>
  <c r="G79" i="4"/>
  <c r="G342" i="4"/>
  <c r="G388" i="4"/>
  <c r="G449" i="4"/>
  <c r="G516" i="4"/>
  <c r="G596" i="4"/>
  <c r="G649" i="4"/>
  <c r="G687" i="4"/>
  <c r="G740" i="4"/>
  <c r="G849" i="4"/>
  <c r="G921" i="4"/>
  <c r="G974" i="4"/>
  <c r="G1101" i="4"/>
  <c r="G1603" i="4"/>
  <c r="G524" i="4"/>
  <c r="G928" i="4"/>
  <c r="BC18" i="6"/>
  <c r="CC19" i="6"/>
  <c r="G1127" i="4"/>
  <c r="BE87" i="2" s="1"/>
  <c r="BD18" i="6"/>
  <c r="G1612" i="4"/>
  <c r="AZ62" i="2" s="1"/>
  <c r="E96" i="4"/>
  <c r="G133" i="4"/>
  <c r="G185" i="4"/>
  <c r="G222" i="4"/>
  <c r="G241" i="4"/>
  <c r="G275" i="4"/>
  <c r="G294" i="4"/>
  <c r="G330" i="4"/>
  <c r="G343" i="4"/>
  <c r="G357" i="4"/>
  <c r="G376" i="4"/>
  <c r="G389" i="4"/>
  <c r="G431" i="4"/>
  <c r="G450" i="4"/>
  <c r="G484" i="4"/>
  <c r="G498" i="4"/>
  <c r="G517" i="4"/>
  <c r="G578" i="4"/>
  <c r="G597" i="4"/>
  <c r="G650" i="4"/>
  <c r="G669" i="4"/>
  <c r="G722" i="4"/>
  <c r="G741" i="4"/>
  <c r="G760" i="4"/>
  <c r="G812" i="4"/>
  <c r="G831" i="4"/>
  <c r="G884" i="4"/>
  <c r="G903" i="4"/>
  <c r="G956" i="4"/>
  <c r="G975" i="4"/>
  <c r="G1011" i="4"/>
  <c r="G1064" i="4"/>
  <c r="G1083" i="4"/>
  <c r="G1136" i="4"/>
  <c r="G1155" i="4"/>
  <c r="G1208" i="4"/>
  <c r="G1318" i="4"/>
  <c r="G1351" i="4"/>
  <c r="G1370" i="4"/>
  <c r="G1442" i="4"/>
  <c r="G1514" i="4"/>
  <c r="G1533" i="4"/>
  <c r="G1569" i="4"/>
  <c r="G1621" i="4"/>
  <c r="G761" i="4"/>
  <c r="G730" i="4"/>
  <c r="G1640" i="4"/>
  <c r="G1690" i="4"/>
  <c r="G1720" i="4"/>
  <c r="G1774" i="4"/>
  <c r="G1791" i="4"/>
  <c r="G1872" i="4"/>
  <c r="AZ98" i="2" s="1"/>
  <c r="G874" i="4"/>
  <c r="AZ18" i="6"/>
  <c r="G1522" i="4"/>
  <c r="AZ83" i="2" s="1"/>
  <c r="BY18" i="6"/>
  <c r="G1036" i="4"/>
  <c r="BJ18" i="6"/>
  <c r="BS19" i="6"/>
  <c r="G1631" i="4"/>
  <c r="BE77" i="2" s="1"/>
  <c r="CJ19" i="6"/>
  <c r="G1595" i="4"/>
  <c r="BE94" i="2" s="1"/>
  <c r="G604" i="4"/>
  <c r="AG18" i="6"/>
  <c r="G1576" i="4"/>
  <c r="AZ89" i="2" s="1"/>
  <c r="G230" i="4"/>
  <c r="G525" i="4"/>
  <c r="AB19" i="6"/>
  <c r="G1378" i="4"/>
  <c r="AZ74" i="2" s="1"/>
  <c r="BP18" i="6"/>
  <c r="CO19" i="6"/>
  <c r="G1873" i="4"/>
  <c r="BE98" i="2" s="1"/>
  <c r="H92" i="3"/>
  <c r="G78" i="4"/>
  <c r="E356" i="4"/>
  <c r="E777" i="4"/>
  <c r="E1101" i="4"/>
  <c r="M19" i="6"/>
  <c r="G177" i="4"/>
  <c r="BE17" i="2" s="1"/>
  <c r="G1746" i="4"/>
  <c r="AZ41" i="2" s="1"/>
  <c r="H96" i="3"/>
  <c r="G132" i="4"/>
  <c r="G169" i="4"/>
  <c r="G259" i="4"/>
  <c r="G329" i="4"/>
  <c r="G375" i="4"/>
  <c r="G401" i="4"/>
  <c r="G468" i="4"/>
  <c r="G497" i="4"/>
  <c r="G615" i="4"/>
  <c r="G721" i="4"/>
  <c r="G759" i="4"/>
  <c r="G830" i="4"/>
  <c r="G902" i="4"/>
  <c r="G1010" i="4"/>
  <c r="G1082" i="4"/>
  <c r="G1154" i="4"/>
  <c r="G1353" i="4"/>
  <c r="G1424" i="4"/>
  <c r="G1018" i="4"/>
  <c r="G1702" i="4"/>
  <c r="G1756" i="4"/>
  <c r="G1793" i="4"/>
  <c r="G1864" i="4"/>
  <c r="G1433" i="4"/>
  <c r="BE78" i="2" s="1"/>
  <c r="BT19" i="6"/>
  <c r="G857" i="4"/>
  <c r="BE57" i="2" s="1"/>
  <c r="AY19" i="6"/>
  <c r="G1728" i="4"/>
  <c r="AZ101" i="2" s="1"/>
  <c r="CT18" i="6"/>
  <c r="M96" i="3"/>
  <c r="R92" i="3"/>
  <c r="E77" i="4"/>
  <c r="E97" i="4"/>
  <c r="G114" i="4"/>
  <c r="E223" i="4"/>
  <c r="E295" i="4"/>
  <c r="E413" i="4"/>
  <c r="E432" i="4"/>
  <c r="E547" i="4"/>
  <c r="E579" i="4"/>
  <c r="E632" i="4"/>
  <c r="E704" i="4"/>
  <c r="E723" i="4"/>
  <c r="E794" i="4"/>
  <c r="E813" i="4"/>
  <c r="E866" i="4"/>
  <c r="E885" i="4"/>
  <c r="E938" i="4"/>
  <c r="E957" i="4"/>
  <c r="E993" i="4"/>
  <c r="E1046" i="4"/>
  <c r="E1065" i="4"/>
  <c r="E1118" i="4"/>
  <c r="E1137" i="4"/>
  <c r="E1190" i="4"/>
  <c r="E1209" i="4"/>
  <c r="G1486" i="4"/>
  <c r="AZ81" i="2" s="1"/>
  <c r="G1450" i="4"/>
  <c r="AZ79" i="2" s="1"/>
  <c r="G640" i="4"/>
  <c r="G1163" i="4"/>
  <c r="BE90" i="2" s="1"/>
  <c r="CF19" i="6"/>
  <c r="G1415" i="4"/>
  <c r="BE76" i="2" s="1"/>
  <c r="BR19" i="6"/>
  <c r="CA19" i="6"/>
  <c r="G1091" i="4"/>
  <c r="BE85" i="2" s="1"/>
  <c r="G586" i="4"/>
  <c r="AF18" i="6"/>
  <c r="G748" i="4"/>
  <c r="G51" i="4"/>
  <c r="BE10" i="2" s="1"/>
  <c r="H19" i="6"/>
  <c r="AH19" i="6"/>
  <c r="G623" i="4"/>
  <c r="BE36" i="2" s="1"/>
  <c r="G767" i="4"/>
  <c r="BE49" i="2" s="1"/>
  <c r="AQ19" i="6"/>
  <c r="E522" i="4"/>
  <c r="AN35" i="3" s="1"/>
  <c r="C10" i="4"/>
  <c r="C11" i="4" s="1"/>
  <c r="C12" i="4" s="1"/>
  <c r="C13" i="4" s="1"/>
  <c r="C14" i="4" s="1"/>
  <c r="C15" i="4" s="1"/>
  <c r="C16" i="4" s="1"/>
  <c r="C17" i="4" s="1"/>
  <c r="C18" i="4" s="1"/>
  <c r="C19" i="4" s="1"/>
  <c r="C99" i="4"/>
  <c r="C100" i="4" s="1"/>
  <c r="C101" i="4" s="1"/>
  <c r="C102" i="4" s="1"/>
  <c r="C103" i="4" s="1"/>
  <c r="C104" i="4" s="1"/>
  <c r="C105" i="4" s="1"/>
  <c r="C106" i="4" s="1"/>
  <c r="C107" i="4" s="1"/>
  <c r="C108" i="4" s="1"/>
  <c r="C109" i="4" s="1"/>
  <c r="C225" i="4"/>
  <c r="C226" i="4" s="1"/>
  <c r="C227" i="4" s="1"/>
  <c r="C228" i="4" s="1"/>
  <c r="C229" i="4" s="1"/>
  <c r="C230" i="4" s="1"/>
  <c r="C231" i="4" s="1"/>
  <c r="C232" i="4" s="1"/>
  <c r="C233" i="4" s="1"/>
  <c r="C234" i="4" s="1"/>
  <c r="C235" i="4" s="1"/>
  <c r="C297" i="4"/>
  <c r="C298" i="4" s="1"/>
  <c r="C299" i="4" s="1"/>
  <c r="C300" i="4" s="1"/>
  <c r="C301" i="4" s="1"/>
  <c r="C302" i="4" s="1"/>
  <c r="C303" i="4" s="1"/>
  <c r="C304" i="4" s="1"/>
  <c r="C305" i="4" s="1"/>
  <c r="C306" i="4" s="1"/>
  <c r="C307" i="4" s="1"/>
  <c r="C359" i="4"/>
  <c r="C360" i="4" s="1"/>
  <c r="C361" i="4" s="1"/>
  <c r="C362" i="4" s="1"/>
  <c r="C363" i="4" s="1"/>
  <c r="C364" i="4" s="1"/>
  <c r="C365" i="4" s="1"/>
  <c r="C366" i="4" s="1"/>
  <c r="C367" i="4" s="1"/>
  <c r="C368" i="4" s="1"/>
  <c r="C369" i="4" s="1"/>
  <c r="C416" i="4"/>
  <c r="C417" i="4" s="1"/>
  <c r="C418" i="4" s="1"/>
  <c r="C419" i="4" s="1"/>
  <c r="C420" i="4" s="1"/>
  <c r="C421" i="4" s="1"/>
  <c r="C422" i="4" s="1"/>
  <c r="C423" i="4" s="1"/>
  <c r="C424" i="4" s="1"/>
  <c r="C425" i="4" s="1"/>
  <c r="C426" i="4" s="1"/>
  <c r="C550" i="4"/>
  <c r="C551" i="4" s="1"/>
  <c r="C552" i="4" s="1"/>
  <c r="C553" i="4" s="1"/>
  <c r="C554" i="4" s="1"/>
  <c r="C555" i="4" s="1"/>
  <c r="C556" i="4" s="1"/>
  <c r="C557" i="4" s="1"/>
  <c r="C558" i="4" s="1"/>
  <c r="C559" i="4" s="1"/>
  <c r="C560" i="4" s="1"/>
  <c r="C617" i="4"/>
  <c r="C618" i="4" s="1"/>
  <c r="C619" i="4" s="1"/>
  <c r="C620" i="4" s="1"/>
  <c r="C621" i="4" s="1"/>
  <c r="C622" i="4" s="1"/>
  <c r="C623" i="4" s="1"/>
  <c r="C624" i="4" s="1"/>
  <c r="C625" i="4" s="1"/>
  <c r="C626" i="4" s="1"/>
  <c r="C627" i="4" s="1"/>
  <c r="C689" i="4"/>
  <c r="C690" i="4" s="1"/>
  <c r="C691" i="4" s="1"/>
  <c r="C692" i="4" s="1"/>
  <c r="C693" i="4" s="1"/>
  <c r="C694" i="4" s="1"/>
  <c r="C695" i="4" s="1"/>
  <c r="C696" i="4" s="1"/>
  <c r="C697" i="4" s="1"/>
  <c r="C698" i="4" s="1"/>
  <c r="C699" i="4" s="1"/>
  <c r="C761" i="4"/>
  <c r="C762" i="4" s="1"/>
  <c r="C763" i="4" s="1"/>
  <c r="C764" i="4" s="1"/>
  <c r="C765" i="4" s="1"/>
  <c r="C766" i="4" s="1"/>
  <c r="C767" i="4" s="1"/>
  <c r="C768" i="4" s="1"/>
  <c r="C769" i="4" s="1"/>
  <c r="C770" i="4" s="1"/>
  <c r="C771" i="4" s="1"/>
  <c r="C833" i="4"/>
  <c r="C834" i="4" s="1"/>
  <c r="C835" i="4" s="1"/>
  <c r="C836" i="4" s="1"/>
  <c r="C837" i="4" s="1"/>
  <c r="C838" i="4" s="1"/>
  <c r="C839" i="4" s="1"/>
  <c r="C840" i="4" s="1"/>
  <c r="C841" i="4" s="1"/>
  <c r="C842" i="4" s="1"/>
  <c r="C843" i="4" s="1"/>
  <c r="C905" i="4"/>
  <c r="C906" i="4" s="1"/>
  <c r="C907" i="4" s="1"/>
  <c r="C908" i="4" s="1"/>
  <c r="C909" i="4" s="1"/>
  <c r="C910" i="4" s="1"/>
  <c r="C911" i="4" s="1"/>
  <c r="C912" i="4" s="1"/>
  <c r="C913" i="4" s="1"/>
  <c r="C914" i="4" s="1"/>
  <c r="C915" i="4" s="1"/>
  <c r="C977" i="4"/>
  <c r="C978" i="4" s="1"/>
  <c r="C979" i="4" s="1"/>
  <c r="C980" i="4" s="1"/>
  <c r="C981" i="4" s="1"/>
  <c r="C982" i="4" s="1"/>
  <c r="C983" i="4" s="1"/>
  <c r="C984" i="4" s="1"/>
  <c r="C985" i="4" s="1"/>
  <c r="C986" i="4" s="1"/>
  <c r="C987" i="4" s="1"/>
  <c r="C1049" i="4"/>
  <c r="C1050" i="4" s="1"/>
  <c r="C1051" i="4" s="1"/>
  <c r="C1052" i="4" s="1"/>
  <c r="C1053" i="4" s="1"/>
  <c r="C1054" i="4" s="1"/>
  <c r="C1055" i="4" s="1"/>
  <c r="C1056" i="4" s="1"/>
  <c r="C1057" i="4" s="1"/>
  <c r="C1058" i="4" s="1"/>
  <c r="C1059" i="4" s="1"/>
  <c r="C1301" i="4"/>
  <c r="C1302" i="4" s="1"/>
  <c r="C1303" i="4" s="1"/>
  <c r="C1304" i="4" s="1"/>
  <c r="C1305" i="4" s="1"/>
  <c r="C1306" i="4" s="1"/>
  <c r="C1307" i="4" s="1"/>
  <c r="C1308" i="4" s="1"/>
  <c r="C1309" i="4" s="1"/>
  <c r="C1310" i="4" s="1"/>
  <c r="C1311" i="4" s="1"/>
  <c r="C1355" i="4"/>
  <c r="C1356" i="4" s="1"/>
  <c r="C1357" i="4" s="1"/>
  <c r="C1358" i="4" s="1"/>
  <c r="C1359" i="4" s="1"/>
  <c r="C1360" i="4" s="1"/>
  <c r="C1361" i="4" s="1"/>
  <c r="C1362" i="4" s="1"/>
  <c r="C1363" i="4" s="1"/>
  <c r="C1364" i="4" s="1"/>
  <c r="C1365" i="4" s="1"/>
  <c r="C1427" i="4"/>
  <c r="C1428" i="4" s="1"/>
  <c r="C1429" i="4" s="1"/>
  <c r="C1517" i="4"/>
  <c r="C1518" i="4" s="1"/>
  <c r="C1519" i="4" s="1"/>
  <c r="C1625" i="4"/>
  <c r="C1626" i="4" s="1"/>
  <c r="C1627" i="4" s="1"/>
  <c r="C81" i="4"/>
  <c r="C82" i="4" s="1"/>
  <c r="C83" i="4" s="1"/>
  <c r="C84" i="4" s="1"/>
  <c r="C85" i="4" s="1"/>
  <c r="C86" i="4" s="1"/>
  <c r="C87" i="4" s="1"/>
  <c r="C88" i="4" s="1"/>
  <c r="C89" i="4" s="1"/>
  <c r="C90" i="4" s="1"/>
  <c r="C91" i="4" s="1"/>
  <c r="C189" i="4"/>
  <c r="C190" i="4" s="1"/>
  <c r="C191" i="4" s="1"/>
  <c r="C192" i="4" s="1"/>
  <c r="C193" i="4" s="1"/>
  <c r="C194" i="4" s="1"/>
  <c r="C195" i="4" s="1"/>
  <c r="C196" i="4" s="1"/>
  <c r="C197" i="4" s="1"/>
  <c r="C198" i="4" s="1"/>
  <c r="C199" i="4" s="1"/>
  <c r="C470" i="4"/>
  <c r="C471" i="4" s="1"/>
  <c r="C472" i="4" s="1"/>
  <c r="C473" i="4" s="1"/>
  <c r="C474" i="4" s="1"/>
  <c r="C475" i="4" s="1"/>
  <c r="C476" i="4" s="1"/>
  <c r="C477" i="4" s="1"/>
  <c r="C478" i="4" s="1"/>
  <c r="C479" i="4" s="1"/>
  <c r="C480" i="4" s="1"/>
  <c r="C599" i="4"/>
  <c r="C600" i="4" s="1"/>
  <c r="C601" i="4" s="1"/>
  <c r="C602" i="4" s="1"/>
  <c r="C603" i="4" s="1"/>
  <c r="C604" i="4" s="1"/>
  <c r="C605" i="4" s="1"/>
  <c r="C606" i="4" s="1"/>
  <c r="C607" i="4" s="1"/>
  <c r="C608" i="4" s="1"/>
  <c r="C609" i="4" s="1"/>
  <c r="C671" i="4"/>
  <c r="C672" i="4" s="1"/>
  <c r="C673" i="4" s="1"/>
  <c r="C674" i="4" s="1"/>
  <c r="C675" i="4" s="1"/>
  <c r="C676" i="4" s="1"/>
  <c r="C677" i="4" s="1"/>
  <c r="C678" i="4" s="1"/>
  <c r="C679" i="4" s="1"/>
  <c r="C680" i="4" s="1"/>
  <c r="C681" i="4" s="1"/>
  <c r="C743" i="4"/>
  <c r="C744" i="4" s="1"/>
  <c r="C745" i="4" s="1"/>
  <c r="C746" i="4" s="1"/>
  <c r="C747" i="4" s="1"/>
  <c r="C748" i="4" s="1"/>
  <c r="C749" i="4" s="1"/>
  <c r="C750" i="4" s="1"/>
  <c r="C751" i="4" s="1"/>
  <c r="C752" i="4" s="1"/>
  <c r="C753" i="4" s="1"/>
  <c r="C815" i="4"/>
  <c r="C887" i="4"/>
  <c r="C888" i="4" s="1"/>
  <c r="C889" i="4" s="1"/>
  <c r="C890" i="4" s="1"/>
  <c r="C891" i="4" s="1"/>
  <c r="C892" i="4" s="1"/>
  <c r="C893" i="4" s="1"/>
  <c r="C894" i="4" s="1"/>
  <c r="C895" i="4" s="1"/>
  <c r="C896" i="4" s="1"/>
  <c r="C897" i="4" s="1"/>
  <c r="C959" i="4"/>
  <c r="C960" i="4" s="1"/>
  <c r="C961" i="4" s="1"/>
  <c r="C962" i="4" s="1"/>
  <c r="C963" i="4" s="1"/>
  <c r="C964" i="4" s="1"/>
  <c r="C965" i="4" s="1"/>
  <c r="C966" i="4" s="1"/>
  <c r="C967" i="4" s="1"/>
  <c r="C968" i="4" s="1"/>
  <c r="C969" i="4" s="1"/>
  <c r="C1031" i="4"/>
  <c r="C1032" i="4" s="1"/>
  <c r="C1033" i="4" s="1"/>
  <c r="C1034" i="4" s="1"/>
  <c r="C1035" i="4" s="1"/>
  <c r="C1036" i="4" s="1"/>
  <c r="C1037" i="4" s="1"/>
  <c r="C1038" i="4" s="1"/>
  <c r="C1039" i="4" s="1"/>
  <c r="C1040" i="4" s="1"/>
  <c r="C1041" i="4" s="1"/>
  <c r="C1103" i="4"/>
  <c r="C1104" i="4" s="1"/>
  <c r="C1105" i="4" s="1"/>
  <c r="C1106" i="4" s="1"/>
  <c r="C1107" i="4" s="1"/>
  <c r="C1108" i="4" s="1"/>
  <c r="C1109" i="4" s="1"/>
  <c r="C1110" i="4" s="1"/>
  <c r="C1111" i="4" s="1"/>
  <c r="C1112" i="4" s="1"/>
  <c r="C1113" i="4" s="1"/>
  <c r="C1175" i="4"/>
  <c r="C1176" i="4" s="1"/>
  <c r="C1177" i="4" s="1"/>
  <c r="C1178" i="4" s="1"/>
  <c r="C1179" i="4" s="1"/>
  <c r="C1180" i="4" s="1"/>
  <c r="C1181" i="4" s="1"/>
  <c r="C1182" i="4" s="1"/>
  <c r="C1183" i="4" s="1"/>
  <c r="C1184" i="4" s="1"/>
  <c r="C1185" i="4" s="1"/>
  <c r="C1247" i="4"/>
  <c r="C1248" i="4" s="1"/>
  <c r="C1249" i="4" s="1"/>
  <c r="C1319" i="4"/>
  <c r="C1320" i="4" s="1"/>
  <c r="C1321" i="4" s="1"/>
  <c r="C1337" i="4"/>
  <c r="C1338" i="4" s="1"/>
  <c r="C1339" i="4" s="1"/>
  <c r="C1409" i="4"/>
  <c r="C1410" i="4" s="1"/>
  <c r="C1411" i="4" s="1"/>
  <c r="C1499" i="4"/>
  <c r="C1500" i="4" s="1"/>
  <c r="C1501" i="4" s="1"/>
  <c r="C1643" i="4"/>
  <c r="C1644" i="4" s="1"/>
  <c r="C1661" i="4"/>
  <c r="C1662" i="4" s="1"/>
  <c r="C1663" i="4" s="1"/>
  <c r="C1664" i="4" s="1"/>
  <c r="C1665" i="4" s="1"/>
  <c r="C1666" i="4" s="1"/>
  <c r="C1667" i="4" s="1"/>
  <c r="C1668" i="4" s="1"/>
  <c r="C1669" i="4" s="1"/>
  <c r="C1670" i="4" s="1"/>
  <c r="C1671" i="4" s="1"/>
  <c r="C1705" i="4"/>
  <c r="C1706" i="4" s="1"/>
  <c r="C1707" i="4" s="1"/>
  <c r="C1708" i="4" s="1"/>
  <c r="C1709" i="4" s="1"/>
  <c r="C1710" i="4" s="1"/>
  <c r="C1711" i="4" s="1"/>
  <c r="C1712" i="4" s="1"/>
  <c r="C1713" i="4" s="1"/>
  <c r="C1714" i="4" s="1"/>
  <c r="C1715" i="4" s="1"/>
  <c r="C1723" i="4"/>
  <c r="C1724" i="4" s="1"/>
  <c r="C1725" i="4" s="1"/>
  <c r="C1726" i="4" s="1"/>
  <c r="C1727" i="4" s="1"/>
  <c r="C1728" i="4" s="1"/>
  <c r="C1729" i="4" s="1"/>
  <c r="C1730" i="4" s="1"/>
  <c r="C1731" i="4" s="1"/>
  <c r="C1732" i="4" s="1"/>
  <c r="C1733" i="4" s="1"/>
  <c r="C1741" i="4"/>
  <c r="C1742" i="4" s="1"/>
  <c r="C1743" i="4" s="1"/>
  <c r="C1744" i="4" s="1"/>
  <c r="C1745" i="4" s="1"/>
  <c r="C1746" i="4" s="1"/>
  <c r="C1747" i="4" s="1"/>
  <c r="C1748" i="4" s="1"/>
  <c r="C1749" i="4" s="1"/>
  <c r="C1750" i="4" s="1"/>
  <c r="C1751" i="4" s="1"/>
  <c r="C45" i="4"/>
  <c r="C46" i="4" s="1"/>
  <c r="C47" i="4" s="1"/>
  <c r="C48" i="4" s="1"/>
  <c r="C49" i="4" s="1"/>
  <c r="C50" i="4" s="1"/>
  <c r="C51" i="4" s="1"/>
  <c r="C52" i="4" s="1"/>
  <c r="C53" i="4" s="1"/>
  <c r="C54" i="4" s="1"/>
  <c r="C55" i="4" s="1"/>
  <c r="C171" i="4"/>
  <c r="C172" i="4" s="1"/>
  <c r="C173" i="4" s="1"/>
  <c r="C174" i="4" s="1"/>
  <c r="C175" i="4" s="1"/>
  <c r="C176" i="4" s="1"/>
  <c r="C177" i="4" s="1"/>
  <c r="C178" i="4" s="1"/>
  <c r="C179" i="4" s="1"/>
  <c r="C180" i="4" s="1"/>
  <c r="C181" i="4" s="1"/>
  <c r="C264" i="4"/>
  <c r="C265" i="4" s="1"/>
  <c r="C266" i="4" s="1"/>
  <c r="C267" i="4" s="1"/>
  <c r="C268" i="4" s="1"/>
  <c r="C269" i="4" s="1"/>
  <c r="C270" i="4" s="1"/>
  <c r="C271" i="4" s="1"/>
  <c r="C452" i="4"/>
  <c r="C453" i="4" s="1"/>
  <c r="C454" i="4" s="1"/>
  <c r="C455" i="4" s="1"/>
  <c r="C456" i="4" s="1"/>
  <c r="C457" i="4" s="1"/>
  <c r="C458" i="4" s="1"/>
  <c r="C459" i="4" s="1"/>
  <c r="C460" i="4" s="1"/>
  <c r="C461" i="4" s="1"/>
  <c r="C462" i="4" s="1"/>
  <c r="C581" i="4"/>
  <c r="C582" i="4" s="1"/>
  <c r="C583" i="4" s="1"/>
  <c r="C584" i="4" s="1"/>
  <c r="C585" i="4" s="1"/>
  <c r="C586" i="4" s="1"/>
  <c r="C587" i="4" s="1"/>
  <c r="C588" i="4" s="1"/>
  <c r="C589" i="4" s="1"/>
  <c r="C590" i="4" s="1"/>
  <c r="C591" i="4" s="1"/>
  <c r="C653" i="4"/>
  <c r="C654" i="4" s="1"/>
  <c r="C655" i="4" s="1"/>
  <c r="C656" i="4" s="1"/>
  <c r="C657" i="4" s="1"/>
  <c r="C658" i="4" s="1"/>
  <c r="C659" i="4" s="1"/>
  <c r="C660" i="4" s="1"/>
  <c r="C661" i="4" s="1"/>
  <c r="C662" i="4" s="1"/>
  <c r="C663" i="4" s="1"/>
  <c r="C725" i="4"/>
  <c r="C726" i="4" s="1"/>
  <c r="C727" i="4" s="1"/>
  <c r="C728" i="4" s="1"/>
  <c r="C729" i="4" s="1"/>
  <c r="C730" i="4" s="1"/>
  <c r="C731" i="4" s="1"/>
  <c r="C732" i="4" s="1"/>
  <c r="C733" i="4" s="1"/>
  <c r="C734" i="4" s="1"/>
  <c r="C735" i="4" s="1"/>
  <c r="C797" i="4"/>
  <c r="C869" i="4"/>
  <c r="C870" i="4" s="1"/>
  <c r="C871" i="4" s="1"/>
  <c r="C872" i="4" s="1"/>
  <c r="C873" i="4" s="1"/>
  <c r="C874" i="4" s="1"/>
  <c r="C875" i="4" s="1"/>
  <c r="C876" i="4" s="1"/>
  <c r="C877" i="4" s="1"/>
  <c r="C878" i="4" s="1"/>
  <c r="C879" i="4" s="1"/>
  <c r="C1013" i="4"/>
  <c r="C1014" i="4" s="1"/>
  <c r="C1015" i="4" s="1"/>
  <c r="C1016" i="4" s="1"/>
  <c r="C1017" i="4" s="1"/>
  <c r="C1018" i="4" s="1"/>
  <c r="C1019" i="4" s="1"/>
  <c r="C1020" i="4" s="1"/>
  <c r="C1021" i="4" s="1"/>
  <c r="C1022" i="4" s="1"/>
  <c r="C1023" i="4" s="1"/>
  <c r="C1085" i="4"/>
  <c r="C1086" i="4" s="1"/>
  <c r="C1087" i="4" s="1"/>
  <c r="C1088" i="4" s="1"/>
  <c r="C1089" i="4" s="1"/>
  <c r="C1090" i="4" s="1"/>
  <c r="C1091" i="4" s="1"/>
  <c r="C1092" i="4" s="1"/>
  <c r="C1093" i="4" s="1"/>
  <c r="C1094" i="4" s="1"/>
  <c r="C1095" i="4" s="1"/>
  <c r="C1157" i="4"/>
  <c r="C1158" i="4" s="1"/>
  <c r="C1159" i="4" s="1"/>
  <c r="C1160" i="4" s="1"/>
  <c r="C1161" i="4" s="1"/>
  <c r="C1162" i="4" s="1"/>
  <c r="C1163" i="4" s="1"/>
  <c r="C1164" i="4" s="1"/>
  <c r="C1165" i="4" s="1"/>
  <c r="C1166" i="4" s="1"/>
  <c r="C1167" i="4" s="1"/>
  <c r="C1229" i="4"/>
  <c r="C1230" i="4" s="1"/>
  <c r="C1231" i="4" s="1"/>
  <c r="C1232" i="4" s="1"/>
  <c r="C1233" i="4" s="1"/>
  <c r="C1234" i="4" s="1"/>
  <c r="C1235" i="4" s="1"/>
  <c r="C1236" i="4" s="1"/>
  <c r="C1237" i="4" s="1"/>
  <c r="C1238" i="4" s="1"/>
  <c r="C1239" i="4" s="1"/>
  <c r="C1285" i="4"/>
  <c r="C1286" i="4" s="1"/>
  <c r="C1287" i="4" s="1"/>
  <c r="C1288" i="4" s="1"/>
  <c r="C1289" i="4" s="1"/>
  <c r="C1290" i="4" s="1"/>
  <c r="C1291" i="4" s="1"/>
  <c r="C1292" i="4" s="1"/>
  <c r="C1293" i="4" s="1"/>
  <c r="C1265" i="4"/>
  <c r="C1266" i="4" s="1"/>
  <c r="C1267" i="4" s="1"/>
  <c r="C1391" i="4"/>
  <c r="C1392" i="4" s="1"/>
  <c r="C1393" i="4" s="1"/>
  <c r="C1481" i="4"/>
  <c r="C1482" i="4" s="1"/>
  <c r="C1483" i="4" s="1"/>
  <c r="C1553" i="4"/>
  <c r="C1554" i="4" s="1"/>
  <c r="C1555" i="4" s="1"/>
  <c r="C1589" i="4"/>
  <c r="C1590" i="4" s="1"/>
  <c r="C1591" i="4" s="1"/>
  <c r="C1607" i="4"/>
  <c r="C1608" i="4" s="1"/>
  <c r="C1609" i="4" s="1"/>
  <c r="C1777" i="4"/>
  <c r="C1778" i="4" s="1"/>
  <c r="C1779" i="4" s="1"/>
  <c r="C1780" i="4" s="1"/>
  <c r="C1781" i="4" s="1"/>
  <c r="C1782" i="4" s="1"/>
  <c r="C1783" i="4" s="1"/>
  <c r="C1784" i="4" s="1"/>
  <c r="C1785" i="4" s="1"/>
  <c r="C1786" i="4" s="1"/>
  <c r="C1787" i="4" s="1"/>
  <c r="C1795" i="4"/>
  <c r="C1796" i="4" s="1"/>
  <c r="C1797" i="4" s="1"/>
  <c r="C1798" i="4" s="1"/>
  <c r="C1799" i="4" s="1"/>
  <c r="C1800" i="4" s="1"/>
  <c r="C1801" i="4" s="1"/>
  <c r="C1802" i="4" s="1"/>
  <c r="C1803" i="4" s="1"/>
  <c r="C1804" i="4" s="1"/>
  <c r="C1805" i="4" s="1"/>
  <c r="C1867" i="4"/>
  <c r="C1868" i="4" s="1"/>
  <c r="C1869" i="4" s="1"/>
  <c r="C1870" i="4" s="1"/>
  <c r="C1871" i="4" s="1"/>
  <c r="C1872" i="4" s="1"/>
  <c r="C1873" i="4" s="1"/>
  <c r="C1874" i="4" s="1"/>
  <c r="C1875" i="4" s="1"/>
  <c r="C1876" i="4" s="1"/>
  <c r="C1877" i="4" s="1"/>
  <c r="C27" i="4"/>
  <c r="C28" i="4" s="1"/>
  <c r="C29" i="4" s="1"/>
  <c r="C30" i="4" s="1"/>
  <c r="C31" i="4" s="1"/>
  <c r="C32" i="4" s="1"/>
  <c r="C33" i="4" s="1"/>
  <c r="C34" i="4" s="1"/>
  <c r="C35" i="4" s="1"/>
  <c r="C36" i="4" s="1"/>
  <c r="C37" i="4" s="1"/>
  <c r="C117" i="4"/>
  <c r="C118" i="4" s="1"/>
  <c r="C119" i="4" s="1"/>
  <c r="C120" i="4" s="1"/>
  <c r="C121" i="4" s="1"/>
  <c r="C122" i="4" s="1"/>
  <c r="C123" i="4" s="1"/>
  <c r="C124" i="4" s="1"/>
  <c r="C125" i="4" s="1"/>
  <c r="C126" i="4" s="1"/>
  <c r="C127" i="4" s="1"/>
  <c r="C315" i="4"/>
  <c r="C316" i="4" s="1"/>
  <c r="C317" i="4" s="1"/>
  <c r="C318" i="4" s="1"/>
  <c r="C319" i="4" s="1"/>
  <c r="C320" i="4" s="1"/>
  <c r="C321" i="4" s="1"/>
  <c r="C322" i="4" s="1"/>
  <c r="C323" i="4" s="1"/>
  <c r="C324" i="4" s="1"/>
  <c r="C325" i="4" s="1"/>
  <c r="C434" i="4"/>
  <c r="C435" i="4" s="1"/>
  <c r="C436" i="4" s="1"/>
  <c r="C437" i="4" s="1"/>
  <c r="C438" i="4" s="1"/>
  <c r="C439" i="4" s="1"/>
  <c r="C440" i="4" s="1"/>
  <c r="C441" i="4" s="1"/>
  <c r="C442" i="4" s="1"/>
  <c r="C443" i="4" s="1"/>
  <c r="C444" i="4" s="1"/>
  <c r="C501" i="4"/>
  <c r="C502" i="4" s="1"/>
  <c r="C503" i="4" s="1"/>
  <c r="C504" i="4" s="1"/>
  <c r="C635" i="4"/>
  <c r="C636" i="4" s="1"/>
  <c r="C637" i="4" s="1"/>
  <c r="C638" i="4" s="1"/>
  <c r="C639" i="4" s="1"/>
  <c r="C640" i="4" s="1"/>
  <c r="C641" i="4" s="1"/>
  <c r="C642" i="4" s="1"/>
  <c r="C643" i="4" s="1"/>
  <c r="C644" i="4" s="1"/>
  <c r="C645" i="4" s="1"/>
  <c r="C707" i="4"/>
  <c r="C708" i="4" s="1"/>
  <c r="C709" i="4" s="1"/>
  <c r="C710" i="4" s="1"/>
  <c r="C711" i="4" s="1"/>
  <c r="C712" i="4" s="1"/>
  <c r="C713" i="4" s="1"/>
  <c r="C714" i="4" s="1"/>
  <c r="C715" i="4" s="1"/>
  <c r="C716" i="4" s="1"/>
  <c r="C717" i="4" s="1"/>
  <c r="C779" i="4"/>
  <c r="C780" i="4" s="1"/>
  <c r="C781" i="4" s="1"/>
  <c r="C782" i="4" s="1"/>
  <c r="C783" i="4" s="1"/>
  <c r="C784" i="4" s="1"/>
  <c r="C785" i="4" s="1"/>
  <c r="C786" i="4" s="1"/>
  <c r="C787" i="4" s="1"/>
  <c r="C788" i="4" s="1"/>
  <c r="C789" i="4" s="1"/>
  <c r="C923" i="4"/>
  <c r="C924" i="4" s="1"/>
  <c r="C925" i="4" s="1"/>
  <c r="C926" i="4" s="1"/>
  <c r="C927" i="4" s="1"/>
  <c r="C928" i="4" s="1"/>
  <c r="C929" i="4" s="1"/>
  <c r="C930" i="4" s="1"/>
  <c r="C931" i="4" s="1"/>
  <c r="C932" i="4" s="1"/>
  <c r="C933" i="4" s="1"/>
  <c r="C995" i="4"/>
  <c r="C996" i="4" s="1"/>
  <c r="C997" i="4" s="1"/>
  <c r="C998" i="4" s="1"/>
  <c r="C999" i="4" s="1"/>
  <c r="C1000" i="4" s="1"/>
  <c r="C1001" i="4" s="1"/>
  <c r="C1002" i="4" s="1"/>
  <c r="C1003" i="4" s="1"/>
  <c r="C1004" i="4" s="1"/>
  <c r="C1005" i="4" s="1"/>
  <c r="C1067" i="4"/>
  <c r="C1068" i="4" s="1"/>
  <c r="C1069" i="4" s="1"/>
  <c r="C1070" i="4" s="1"/>
  <c r="C1071" i="4" s="1"/>
  <c r="C1072" i="4" s="1"/>
  <c r="C1073" i="4" s="1"/>
  <c r="C1074" i="4" s="1"/>
  <c r="C1075" i="4" s="1"/>
  <c r="C1076" i="4" s="1"/>
  <c r="C1077" i="4" s="1"/>
  <c r="C1211" i="4"/>
  <c r="C1212" i="4" s="1"/>
  <c r="C1213" i="4" s="1"/>
  <c r="C1214" i="4" s="1"/>
  <c r="C1215" i="4" s="1"/>
  <c r="C1216" i="4" s="1"/>
  <c r="C1217" i="4" s="1"/>
  <c r="C1218" i="4" s="1"/>
  <c r="C1219" i="4" s="1"/>
  <c r="C1220" i="4" s="1"/>
  <c r="C1221" i="4" s="1"/>
  <c r="C1373" i="4"/>
  <c r="C1374" i="4" s="1"/>
  <c r="C1375" i="4" s="1"/>
  <c r="C1445" i="4"/>
  <c r="C1446" i="4" s="1"/>
  <c r="C1447" i="4" s="1"/>
  <c r="C1463" i="4"/>
  <c r="C1464" i="4" s="1"/>
  <c r="C1465" i="4" s="1"/>
  <c r="C1535" i="4"/>
  <c r="C1536" i="4" s="1"/>
  <c r="C1537" i="4" s="1"/>
  <c r="C1571" i="4"/>
  <c r="C1572" i="4" s="1"/>
  <c r="C1573" i="4" s="1"/>
  <c r="C1574" i="4" s="1"/>
  <c r="C1575" i="4" s="1"/>
  <c r="C1759" i="4"/>
  <c r="C1760" i="4" s="1"/>
  <c r="C1761" i="4" s="1"/>
  <c r="C1762" i="4" s="1"/>
  <c r="C1763" i="4" s="1"/>
  <c r="C1764" i="4" s="1"/>
  <c r="C1765" i="4" s="1"/>
  <c r="C1766" i="4" s="1"/>
  <c r="C1767" i="4" s="1"/>
  <c r="C1768" i="4" s="1"/>
  <c r="C1769" i="4" s="1"/>
  <c r="A1908" i="4"/>
  <c r="A1926" i="4"/>
  <c r="A1890" i="4"/>
  <c r="A1918" i="4"/>
  <c r="A1921" i="4"/>
  <c r="A1903" i="4"/>
  <c r="A1885" i="4"/>
  <c r="A1902" i="4"/>
  <c r="A1884" i="4"/>
  <c r="A1920" i="4"/>
  <c r="A158" i="4"/>
  <c r="A68" i="4"/>
  <c r="A152" i="4"/>
  <c r="A62" i="4"/>
  <c r="A153" i="4"/>
  <c r="A63" i="4"/>
  <c r="W131" i="2"/>
  <c r="A1872" i="4"/>
  <c r="B1873" i="4" s="1"/>
  <c r="A506" i="4"/>
  <c r="B507" i="4" s="1"/>
  <c r="B15" i="4"/>
  <c r="E757" i="4"/>
  <c r="E1027" i="4"/>
  <c r="E546" i="4"/>
  <c r="E955" i="4"/>
  <c r="E1045" i="4"/>
  <c r="E1189" i="4"/>
  <c r="E901" i="4"/>
  <c r="E937" i="4"/>
  <c r="E1063" i="4"/>
  <c r="G1009" i="4"/>
  <c r="AZ90" i="2"/>
  <c r="E1099" i="4"/>
  <c r="E1135" i="4"/>
  <c r="E1171" i="4"/>
  <c r="E1207" i="4"/>
  <c r="G415" i="4"/>
  <c r="AZ85" i="2"/>
  <c r="G811" i="4"/>
  <c r="G937" i="4"/>
  <c r="G1099" i="4"/>
  <c r="E919" i="4"/>
  <c r="G430" i="4"/>
  <c r="G595" i="4"/>
  <c r="G775" i="4"/>
  <c r="G919" i="4"/>
  <c r="G973" i="4"/>
  <c r="G1045" i="4"/>
  <c r="G1081" i="4"/>
  <c r="G1135" i="4"/>
  <c r="G1171" i="4"/>
  <c r="G1207" i="4"/>
  <c r="E1081" i="4"/>
  <c r="E1117" i="4"/>
  <c r="E1153" i="4"/>
  <c r="E1225" i="4"/>
  <c r="G448" i="4"/>
  <c r="G757" i="4"/>
  <c r="G793" i="4"/>
  <c r="G901" i="4"/>
  <c r="G955" i="4"/>
  <c r="G1027" i="4"/>
  <c r="G1063" i="4"/>
  <c r="G1117" i="4"/>
  <c r="G1153" i="4"/>
  <c r="G1189" i="4"/>
  <c r="E811" i="4"/>
  <c r="E973" i="4"/>
  <c r="E1009" i="4"/>
  <c r="G167" i="4"/>
  <c r="G6" i="4"/>
  <c r="G414" i="4"/>
  <c r="F1265" i="4"/>
  <c r="G23" i="4"/>
  <c r="G41" i="4"/>
  <c r="G77" i="4"/>
  <c r="G95" i="4"/>
  <c r="G8" i="4"/>
  <c r="E5" i="4"/>
  <c r="G1225" i="4"/>
  <c r="G7" i="4"/>
  <c r="G131" i="4"/>
  <c r="E221" i="4"/>
  <c r="E257" i="4"/>
  <c r="E293" i="4"/>
  <c r="E412" i="4"/>
  <c r="E448" i="4"/>
  <c r="E466" i="4"/>
  <c r="E577" i="4"/>
  <c r="E613" i="4"/>
  <c r="E703" i="4"/>
  <c r="E739" i="4"/>
  <c r="E430" i="4"/>
  <c r="E595" i="4"/>
  <c r="E631" i="4"/>
  <c r="E667" i="4"/>
  <c r="G667" i="4"/>
  <c r="G703" i="4"/>
  <c r="G413" i="4"/>
  <c r="G5" i="4"/>
  <c r="G631" i="4"/>
  <c r="AZ8" i="2"/>
  <c r="AZ69" i="2"/>
  <c r="AZ38" i="2"/>
  <c r="A452" i="4"/>
  <c r="A488" i="4"/>
  <c r="A1373" i="4"/>
  <c r="G739" i="4"/>
  <c r="AZ25" i="2"/>
  <c r="E685" i="4"/>
  <c r="E23" i="4"/>
  <c r="G221" i="4"/>
  <c r="G257" i="4"/>
  <c r="G293" i="4"/>
  <c r="G412" i="4"/>
  <c r="G466" i="4"/>
  <c r="G546" i="4"/>
  <c r="G577" i="4"/>
  <c r="G613" i="4"/>
  <c r="G685" i="4"/>
  <c r="E775" i="4"/>
  <c r="E793" i="4"/>
  <c r="G847" i="4"/>
  <c r="G113" i="4"/>
  <c r="R131" i="2"/>
  <c r="H131" i="2"/>
  <c r="A5" i="4"/>
  <c r="A550" i="4"/>
  <c r="A797" i="4"/>
  <c r="N797" i="4" s="1"/>
  <c r="A1103" i="4"/>
  <c r="A694" i="4"/>
  <c r="C7" i="5"/>
  <c r="M119" i="2" s="1"/>
  <c r="A1630" i="4"/>
  <c r="B1631" i="4" s="1"/>
  <c r="A712" i="4"/>
  <c r="B713" i="4" s="1"/>
  <c r="A1468" i="4"/>
  <c r="B1469" i="4" s="1"/>
  <c r="A542" i="4"/>
  <c r="C15" i="5"/>
  <c r="A928" i="4"/>
  <c r="A32" i="4"/>
  <c r="B33" i="4" s="1"/>
  <c r="A1000" i="4"/>
  <c r="A1234" i="4"/>
  <c r="A395" i="4"/>
  <c r="A1450" i="4"/>
  <c r="B1451" i="4" s="1"/>
  <c r="A1198" i="4"/>
  <c r="B1199" i="4" s="1"/>
  <c r="A676" i="4"/>
  <c r="B677" i="4" s="1"/>
  <c r="A1126" i="4"/>
  <c r="B1127" i="4" s="1"/>
  <c r="A421" i="4"/>
  <c r="B422" i="4" s="1"/>
  <c r="A730" i="4"/>
  <c r="B731" i="4" s="1"/>
  <c r="A1018" i="4"/>
  <c r="A1697" i="4"/>
  <c r="A1504" i="4"/>
  <c r="B1505" i="4" s="1"/>
  <c r="A599" i="4"/>
  <c r="A959" i="4"/>
  <c r="N959" i="4" s="1"/>
  <c r="A1409" i="4"/>
  <c r="A892" i="4"/>
  <c r="A856" i="4"/>
  <c r="A964" i="4"/>
  <c r="A1342" i="4"/>
  <c r="B1343" i="4" s="1"/>
  <c r="A457" i="4"/>
  <c r="B458" i="4" s="1"/>
  <c r="A766" i="4"/>
  <c r="B767" i="4" s="1"/>
  <c r="A1144" i="4"/>
  <c r="B1145" i="4" s="1"/>
  <c r="A1216" i="4"/>
  <c r="B1217" i="4" s="1"/>
  <c r="A1540" i="4"/>
  <c r="B1541" i="4" s="1"/>
  <c r="A1589" i="4"/>
  <c r="A1445" i="4"/>
  <c r="A1571" i="4"/>
  <c r="A1764" i="4"/>
  <c r="B1765" i="4" s="1"/>
  <c r="A838" i="4"/>
  <c r="A1324" i="4"/>
  <c r="B1325" i="4" s="1"/>
  <c r="A1648" i="4"/>
  <c r="B1649" i="4" s="1"/>
  <c r="A1193" i="4"/>
  <c r="A1782" i="4"/>
  <c r="B1783" i="4" s="1"/>
  <c r="A382" i="4"/>
  <c r="A176" i="4"/>
  <c r="B177" i="4" s="1"/>
  <c r="A1728" i="4"/>
  <c r="B1729" i="4" s="1"/>
  <c r="A266" i="4"/>
  <c r="B267" i="4" s="1"/>
  <c r="A555" i="4"/>
  <c r="A874" i="4"/>
  <c r="A1270" i="4"/>
  <c r="B1271" i="4" s="1"/>
  <c r="A1360" i="4"/>
  <c r="B1361" i="4" s="1"/>
  <c r="A1684" i="4"/>
  <c r="A1121" i="4"/>
  <c r="A27" i="4"/>
  <c r="A1643" i="4"/>
  <c r="A86" i="4"/>
  <c r="B87" i="4" s="1"/>
  <c r="A1800" i="4"/>
  <c r="B1801" i="4" s="1"/>
  <c r="A1522" i="4"/>
  <c r="B1523" i="4" s="1"/>
  <c r="A140" i="4"/>
  <c r="A284" i="4"/>
  <c r="B285" i="4" s="1"/>
  <c r="A640" i="4"/>
  <c r="B641" i="4" s="1"/>
  <c r="A302" i="4"/>
  <c r="B303" i="4" s="1"/>
  <c r="A586" i="4"/>
  <c r="B587" i="4" s="1"/>
  <c r="A946" i="4"/>
  <c r="A1414" i="4"/>
  <c r="B1415" i="4" s="1"/>
  <c r="A1396" i="4"/>
  <c r="B1397" i="4" s="1"/>
  <c r="A1710" i="4"/>
  <c r="B1711" i="4" s="1"/>
  <c r="A189" i="4"/>
  <c r="A171" i="4"/>
  <c r="A1247" i="4"/>
  <c r="A50" i="4"/>
  <c r="B51" i="4" s="1"/>
  <c r="A1759" i="4"/>
  <c r="A1180" i="4"/>
  <c r="B1181" i="4" s="1"/>
  <c r="A439" i="4"/>
  <c r="B440" i="4" s="1"/>
  <c r="A1072" i="4"/>
  <c r="A1378" i="4"/>
  <c r="B1379" i="4" s="1"/>
  <c r="A493" i="4"/>
  <c r="A802" i="4"/>
  <c r="A1162" i="4"/>
  <c r="B1163" i="4" s="1"/>
  <c r="A1252" i="4"/>
  <c r="B1253" i="4" s="1"/>
  <c r="A1612" i="4"/>
  <c r="A320" i="4"/>
  <c r="B321" i="4" s="1"/>
  <c r="A104" i="4"/>
  <c r="B105" i="4" s="1"/>
  <c r="D7" i="5"/>
  <c r="R119" i="2" s="1"/>
  <c r="A748" i="4"/>
  <c r="B749" i="4" s="1"/>
  <c r="A194" i="4"/>
  <c r="B195" i="4" s="1"/>
  <c r="A1594" i="4"/>
  <c r="B1595" i="4" s="1"/>
  <c r="A1666" i="4"/>
  <c r="B1667" i="4" s="1"/>
  <c r="A524" i="4"/>
  <c r="A1306" i="4"/>
  <c r="B1307" i="4" s="1"/>
  <c r="A869" i="4"/>
  <c r="N869" i="4" s="1"/>
  <c r="A230" i="4"/>
  <c r="B231" i="4" s="1"/>
  <c r="A1054" i="4"/>
  <c r="A122" i="4"/>
  <c r="B123" i="4" s="1"/>
  <c r="A408" i="4"/>
  <c r="A784" i="4"/>
  <c r="B785" i="4" s="1"/>
  <c r="A338" i="4"/>
  <c r="A658" i="4"/>
  <c r="B659" i="4" s="1"/>
  <c r="A982" i="4"/>
  <c r="A1558" i="4"/>
  <c r="B1559" i="4" s="1"/>
  <c r="A1432" i="4"/>
  <c r="B1433" i="4" s="1"/>
  <c r="A1746" i="4"/>
  <c r="B1747" i="4" s="1"/>
  <c r="A635" i="4"/>
  <c r="A403" i="4"/>
  <c r="A995" i="4"/>
  <c r="N995" i="4" s="1"/>
  <c r="A358" i="4"/>
  <c r="A1588" i="4"/>
  <c r="A1246" i="4"/>
  <c r="A976" i="4"/>
  <c r="N976" i="4" s="1"/>
  <c r="A1390" i="4"/>
  <c r="A1866" i="4"/>
  <c r="A1102" i="4"/>
  <c r="A1192" i="4"/>
  <c r="A742" i="4"/>
  <c r="A134" i="4"/>
  <c r="A1498" i="4"/>
  <c r="A170" i="4"/>
  <c r="A1740" i="4"/>
  <c r="A652" i="4"/>
  <c r="A1552" i="4"/>
  <c r="A260" i="4"/>
  <c r="A1318" i="4"/>
  <c r="A958" i="4"/>
  <c r="N958" i="4" s="1"/>
  <c r="A1444" i="4"/>
  <c r="A1691" i="4"/>
  <c r="A922" i="4"/>
  <c r="N922" i="4" s="1"/>
  <c r="A778" i="4"/>
  <c r="A634" i="4"/>
  <c r="A616" i="4"/>
  <c r="A1426" i="4"/>
  <c r="A598" i="4"/>
  <c r="A724" i="4"/>
  <c r="A518" i="4"/>
  <c r="A1138" i="4"/>
  <c r="A314" i="4"/>
  <c r="A1606" i="4"/>
  <c r="N1606" i="4" s="1"/>
  <c r="A1354" i="4"/>
  <c r="A1012" i="4"/>
  <c r="N1012" i="4" s="1"/>
  <c r="A706" i="4"/>
  <c r="A536" i="4"/>
  <c r="A116" i="4"/>
  <c r="A1480" i="4"/>
  <c r="A294" i="4"/>
  <c r="A617" i="4"/>
  <c r="A1301" i="4"/>
  <c r="A707" i="4"/>
  <c r="A887" i="4"/>
  <c r="N887" i="4" s="1"/>
  <c r="A568" i="4"/>
  <c r="A81" i="4"/>
  <c r="A416" i="4"/>
  <c r="A977" i="4"/>
  <c r="N977" i="4" s="1"/>
  <c r="A923" i="4"/>
  <c r="N923" i="4" s="1"/>
  <c r="A1013" i="4"/>
  <c r="N1013" i="4" s="1"/>
  <c r="A1031" i="4"/>
  <c r="N1031" i="4" s="1"/>
  <c r="A1427" i="4"/>
  <c r="F15" i="5"/>
  <c r="B7" i="5"/>
  <c r="A501" i="4"/>
  <c r="A1607" i="4"/>
  <c r="N1607" i="4" s="1"/>
  <c r="A725" i="4"/>
  <c r="A905" i="4"/>
  <c r="N905" i="4" s="1"/>
  <c r="A851" i="4"/>
  <c r="N851" i="4" s="1"/>
  <c r="A117" i="4"/>
  <c r="A537" i="4"/>
  <c r="A1049" i="4"/>
  <c r="N1049" i="4" s="1"/>
  <c r="A941" i="4"/>
  <c r="N941" i="4" s="1"/>
  <c r="A1157" i="4"/>
  <c r="A1067" i="4"/>
  <c r="N1067" i="4" s="1"/>
  <c r="A1553" i="4"/>
  <c r="A1090" i="4"/>
  <c r="B1091" i="4" s="1"/>
  <c r="A475" i="4"/>
  <c r="B476" i="4" s="1"/>
  <c r="A1867" i="4"/>
  <c r="A346" i="4"/>
  <c r="A1679" i="4"/>
  <c r="A671" i="4"/>
  <c r="A1337" i="4"/>
  <c r="A1795" i="4"/>
  <c r="A243" i="4"/>
  <c r="A390" i="4"/>
  <c r="A359" i="4"/>
  <c r="A99" i="4"/>
  <c r="A1319" i="4"/>
  <c r="A261" i="4"/>
  <c r="A689" i="4"/>
  <c r="A1705" i="4"/>
  <c r="A1229" i="4"/>
  <c r="A1463" i="4"/>
  <c r="A1175" i="4"/>
  <c r="A1661" i="4"/>
  <c r="A1777" i="4"/>
  <c r="A135" i="4"/>
  <c r="A225" i="4"/>
  <c r="A1211" i="4"/>
  <c r="A1625" i="4"/>
  <c r="O1625" i="4" s="1"/>
  <c r="A743" i="4"/>
  <c r="A470" i="4"/>
  <c r="A434" i="4"/>
  <c r="A333" i="4"/>
  <c r="A1355" i="4"/>
  <c r="A279" i="4"/>
  <c r="A815" i="4"/>
  <c r="A653" i="4"/>
  <c r="A1499" i="4"/>
  <c r="A1517" i="4"/>
  <c r="A1265" i="4"/>
  <c r="A1692" i="4"/>
  <c r="A45" i="4"/>
  <c r="A315" i="4"/>
  <c r="A1085" i="4"/>
  <c r="A1481" i="4"/>
  <c r="A1139" i="4"/>
  <c r="A761" i="4"/>
  <c r="A581" i="4"/>
  <c r="A519" i="4"/>
  <c r="A377" i="4"/>
  <c r="A1391" i="4"/>
  <c r="A297" i="4"/>
  <c r="A833" i="4"/>
  <c r="N833" i="4" s="1"/>
  <c r="A779" i="4"/>
  <c r="A1535" i="4"/>
  <c r="A1741" i="4"/>
  <c r="A1283" i="4"/>
  <c r="A1723" i="4"/>
  <c r="F4" i="5"/>
  <c r="A400" i="4"/>
  <c r="A276" i="4"/>
  <c r="A42" i="4"/>
  <c r="A431" i="4"/>
  <c r="A1334" i="4"/>
  <c r="A812" i="4"/>
  <c r="A1604" i="4"/>
  <c r="N1604" i="4" s="1"/>
  <c r="A534" i="4"/>
  <c r="A356" i="4"/>
  <c r="E25" i="4"/>
  <c r="G25" i="4"/>
  <c r="G43" i="4"/>
  <c r="C941" i="4"/>
  <c r="C942" i="4" s="1"/>
  <c r="C943" i="4" s="1"/>
  <c r="C944" i="4" s="1"/>
  <c r="C945" i="4" s="1"/>
  <c r="C946" i="4" s="1"/>
  <c r="C947" i="4" s="1"/>
  <c r="C948" i="4" s="1"/>
  <c r="C949" i="4" s="1"/>
  <c r="C950" i="4" s="1"/>
  <c r="C951" i="4" s="1"/>
  <c r="E15" i="5"/>
  <c r="A1262" i="4"/>
  <c r="A1550" i="4"/>
  <c r="A11" i="4"/>
  <c r="D15" i="5"/>
  <c r="AB126" i="2"/>
  <c r="M92" i="3"/>
  <c r="A1280" i="4"/>
  <c r="A1678" i="4"/>
  <c r="A1516" i="4"/>
  <c r="A796" i="4"/>
  <c r="A44" i="4"/>
  <c r="A1048" i="4"/>
  <c r="N1048" i="4" s="1"/>
  <c r="A98" i="4"/>
  <c r="A1642" i="4"/>
  <c r="A886" i="4"/>
  <c r="N886" i="4" s="1"/>
  <c r="A1408" i="4"/>
  <c r="A1264" i="4"/>
  <c r="A500" i="4"/>
  <c r="A242" i="4"/>
  <c r="A1624" i="4"/>
  <c r="A1794" i="4"/>
  <c r="A1776" i="4"/>
  <c r="A1462" i="4"/>
  <c r="A760" i="4"/>
  <c r="A1570" i="4"/>
  <c r="A332" i="4"/>
  <c r="A224" i="4"/>
  <c r="A549" i="4"/>
  <c r="A80" i="4"/>
  <c r="A402" i="4"/>
  <c r="A1336" i="4"/>
  <c r="A433" i="4"/>
  <c r="A1758" i="4"/>
  <c r="A1660" i="4"/>
  <c r="A389" i="4"/>
  <c r="A868" i="4"/>
  <c r="N868" i="4" s="1"/>
  <c r="A832" i="4"/>
  <c r="N832" i="4" s="1"/>
  <c r="A814" i="4"/>
  <c r="A469" i="4"/>
  <c r="A1120" i="4"/>
  <c r="A1156" i="4"/>
  <c r="A487" i="4"/>
  <c r="A688" i="4"/>
  <c r="A345" i="4"/>
  <c r="A188" i="4"/>
  <c r="A850" i="4"/>
  <c r="N850" i="4" s="1"/>
  <c r="A580" i="4"/>
  <c r="A1722" i="4"/>
  <c r="A278" i="4"/>
  <c r="A296" i="4"/>
  <c r="A26" i="4"/>
  <c r="A1174" i="4"/>
  <c r="A451" i="4"/>
  <c r="A567" i="4"/>
  <c r="A1228" i="4"/>
  <c r="A1704" i="4"/>
  <c r="B9" i="4"/>
  <c r="A415" i="4"/>
  <c r="A1066" i="4"/>
  <c r="N1066" i="4" s="1"/>
  <c r="A1534" i="4"/>
  <c r="A376" i="4"/>
  <c r="A904" i="4"/>
  <c r="N904" i="4" s="1"/>
  <c r="A940" i="4"/>
  <c r="N940" i="4" s="1"/>
  <c r="A1282" i="4"/>
  <c r="A994" i="4"/>
  <c r="N994" i="4" s="1"/>
  <c r="A1300" i="4"/>
  <c r="A1030" i="4"/>
  <c r="N1030" i="4" s="1"/>
  <c r="A670" i="4"/>
  <c r="A1372" i="4"/>
  <c r="A1084" i="4"/>
  <c r="A1210" i="4"/>
  <c r="C1121" i="4"/>
  <c r="AZ10" i="2"/>
  <c r="A12" i="4"/>
  <c r="A485" i="4"/>
  <c r="A1514" i="4"/>
  <c r="T19" i="6"/>
  <c r="T20" i="6" s="1"/>
  <c r="T21" i="6" s="1"/>
  <c r="T22" i="6" s="1"/>
  <c r="A1792" i="4"/>
  <c r="G865" i="4"/>
  <c r="E865" i="4"/>
  <c r="A776" i="4"/>
  <c r="C851" i="4"/>
  <c r="C852" i="4" s="1"/>
  <c r="C853" i="4" s="1"/>
  <c r="G9" i="4"/>
  <c r="A704" i="4"/>
  <c r="E829" i="4"/>
  <c r="G829" i="4"/>
  <c r="E883" i="4"/>
  <c r="G883" i="4"/>
  <c r="E24" i="4"/>
  <c r="E847" i="4"/>
  <c r="G24" i="4"/>
  <c r="G42" i="4"/>
  <c r="G96" i="4"/>
  <c r="C1193" i="4"/>
  <c r="C1139" i="4"/>
  <c r="C135" i="4"/>
  <c r="E167" i="4"/>
  <c r="H1247" i="4"/>
  <c r="AB79" i="3" s="1"/>
  <c r="AB80" i="3" s="1"/>
  <c r="AB82" i="3" s="1"/>
  <c r="AB90" i="3" s="1"/>
  <c r="AB92" i="3" s="1"/>
  <c r="AB98" i="3" s="1"/>
  <c r="A248" i="4"/>
  <c r="B249" i="4" s="1"/>
  <c r="A351" i="4"/>
  <c r="A1576" i="4"/>
  <c r="B1577" i="4" s="1"/>
  <c r="A1288" i="4"/>
  <c r="B1289" i="4" s="1"/>
  <c r="A1486" i="4"/>
  <c r="B1487" i="4" s="1"/>
  <c r="A910" i="4"/>
  <c r="A622" i="4"/>
  <c r="B623" i="4" s="1"/>
  <c r="A364" i="4"/>
  <c r="B365" i="4" s="1"/>
  <c r="A1036" i="4"/>
  <c r="A820" i="4"/>
  <c r="B821" i="4" s="1"/>
  <c r="A604" i="4"/>
  <c r="B605" i="4" s="1"/>
  <c r="A573" i="4"/>
  <c r="A1108" i="4"/>
  <c r="B1109" i="4" s="1"/>
  <c r="M131" i="2"/>
  <c r="BA842" i="4" l="1"/>
  <c r="D842" i="4"/>
  <c r="AZ842" i="4"/>
  <c r="E1596" i="4"/>
  <c r="E1597" i="4"/>
  <c r="E1509" i="4"/>
  <c r="C854" i="4"/>
  <c r="C855" i="4" s="1"/>
  <c r="C856" i="4" s="1"/>
  <c r="C857" i="4" s="1"/>
  <c r="C858" i="4" s="1"/>
  <c r="C859" i="4" s="1"/>
  <c r="C860" i="4" s="1"/>
  <c r="C861" i="4" s="1"/>
  <c r="E1563" i="4"/>
  <c r="E1562" i="4"/>
  <c r="E1560" i="4"/>
  <c r="E1635" i="4"/>
  <c r="E1634" i="4"/>
  <c r="E1490" i="4"/>
  <c r="E1522" i="4"/>
  <c r="O1622" i="4"/>
  <c r="E1433" i="4"/>
  <c r="O1624" i="4"/>
  <c r="E1545" i="4"/>
  <c r="E1270" i="4"/>
  <c r="E1454" i="4"/>
  <c r="E89" i="4"/>
  <c r="O1623" i="4"/>
  <c r="A203" i="4"/>
  <c r="A1971" i="4"/>
  <c r="A1989" i="4"/>
  <c r="A2007" i="4"/>
  <c r="A1953" i="4"/>
  <c r="O1607" i="4"/>
  <c r="A295" i="4"/>
  <c r="A2009" i="4"/>
  <c r="A1991" i="4"/>
  <c r="B1991" i="4" s="1"/>
  <c r="A1955" i="4"/>
  <c r="A1973" i="4"/>
  <c r="A150" i="4"/>
  <c r="A1954" i="4"/>
  <c r="A1990" i="4"/>
  <c r="B1990" i="4" s="1"/>
  <c r="A2008" i="4"/>
  <c r="B2008" i="4" s="1"/>
  <c r="A1972" i="4"/>
  <c r="B1972" i="4" s="1"/>
  <c r="B1992" i="4"/>
  <c r="A210" i="4"/>
  <c r="A1996" i="4"/>
  <c r="A2014" i="4"/>
  <c r="A1978" i="4"/>
  <c r="A1960" i="4"/>
  <c r="E588" i="4"/>
  <c r="E586" i="4"/>
  <c r="E587" i="4"/>
  <c r="E591" i="4"/>
  <c r="E590" i="4"/>
  <c r="E589" i="4"/>
  <c r="E966" i="4"/>
  <c r="E964" i="4"/>
  <c r="E965" i="4"/>
  <c r="E969" i="4"/>
  <c r="E968" i="4"/>
  <c r="E967" i="4"/>
  <c r="R1660" i="4"/>
  <c r="E1667" i="4"/>
  <c r="B1993" i="4"/>
  <c r="R992" i="4"/>
  <c r="E70" i="4"/>
  <c r="E663" i="4"/>
  <c r="A209" i="4"/>
  <c r="B210" i="4" s="1"/>
  <c r="A1995" i="4"/>
  <c r="A2013" i="4"/>
  <c r="A1977" i="4"/>
  <c r="A1959" i="4"/>
  <c r="E695" i="4"/>
  <c r="E699" i="4"/>
  <c r="E698" i="4"/>
  <c r="E697" i="4"/>
  <c r="E696" i="4"/>
  <c r="E694" i="4"/>
  <c r="E608" i="4"/>
  <c r="E607" i="4"/>
  <c r="E606" i="4"/>
  <c r="E604" i="4"/>
  <c r="E605" i="4"/>
  <c r="E609" i="4"/>
  <c r="E624" i="4"/>
  <c r="E622" i="4"/>
  <c r="E623" i="4"/>
  <c r="E627" i="4"/>
  <c r="E626" i="4"/>
  <c r="E625" i="4"/>
  <c r="E1074" i="4"/>
  <c r="E1072" i="4"/>
  <c r="E1073" i="4"/>
  <c r="E1077" i="4"/>
  <c r="E1076" i="4"/>
  <c r="E1075" i="4"/>
  <c r="E1058" i="4"/>
  <c r="E1057" i="4"/>
  <c r="E1056" i="4"/>
  <c r="E1054" i="4"/>
  <c r="E1055" i="4"/>
  <c r="E1059" i="4"/>
  <c r="E1000" i="4"/>
  <c r="B2011" i="4"/>
  <c r="B2010" i="4"/>
  <c r="O1013" i="4"/>
  <c r="E662" i="4"/>
  <c r="E660" i="4"/>
  <c r="E644" i="4"/>
  <c r="E643" i="4"/>
  <c r="E642" i="4"/>
  <c r="E640" i="4"/>
  <c r="E641" i="4"/>
  <c r="E645" i="4"/>
  <c r="E716" i="4"/>
  <c r="E715" i="4"/>
  <c r="E714" i="4"/>
  <c r="E712" i="4"/>
  <c r="E713" i="4"/>
  <c r="E717" i="4"/>
  <c r="E1165" i="4"/>
  <c r="E1164" i="4"/>
  <c r="E1162" i="4"/>
  <c r="E1163" i="4"/>
  <c r="E1167" i="4"/>
  <c r="E1166" i="4"/>
  <c r="E1038" i="4"/>
  <c r="E1036" i="4"/>
  <c r="E1037" i="4"/>
  <c r="E1041" i="4"/>
  <c r="E1040" i="4"/>
  <c r="E1039" i="4"/>
  <c r="E35" i="4"/>
  <c r="O941" i="4"/>
  <c r="E34" i="4"/>
  <c r="E88" i="4"/>
  <c r="B1975" i="4"/>
  <c r="E661" i="4"/>
  <c r="E658" i="4"/>
  <c r="E986" i="4"/>
  <c r="E985" i="4"/>
  <c r="E984" i="4"/>
  <c r="E982" i="4"/>
  <c r="E983" i="4"/>
  <c r="E987" i="4"/>
  <c r="E1237" i="4"/>
  <c r="E1236" i="4"/>
  <c r="E1234" i="4"/>
  <c r="E1235" i="4"/>
  <c r="E1239" i="4"/>
  <c r="E1238" i="4"/>
  <c r="E559" i="4"/>
  <c r="E558" i="4"/>
  <c r="E557" i="4"/>
  <c r="E555" i="4"/>
  <c r="E556" i="4"/>
  <c r="E560" i="4"/>
  <c r="P323" i="4"/>
  <c r="P322" i="4"/>
  <c r="P320" i="4"/>
  <c r="P324" i="4"/>
  <c r="P321" i="4"/>
  <c r="P325" i="4"/>
  <c r="B1957" i="4"/>
  <c r="O869" i="4"/>
  <c r="E107" i="4"/>
  <c r="E125" i="4"/>
  <c r="E55" i="4"/>
  <c r="A920" i="4"/>
  <c r="N920" i="4" s="1"/>
  <c r="A516" i="4"/>
  <c r="A1586" i="4"/>
  <c r="A222" i="4"/>
  <c r="A1658" i="4"/>
  <c r="A1046" i="4"/>
  <c r="N1046" i="4" s="1"/>
  <c r="A974" i="4"/>
  <c r="N974" i="4" s="1"/>
  <c r="A632" i="4"/>
  <c r="B695" i="4"/>
  <c r="C798" i="4"/>
  <c r="C799" i="4" s="1"/>
  <c r="C800" i="4" s="1"/>
  <c r="C801" i="4" s="1"/>
  <c r="C802" i="4" s="1"/>
  <c r="C803" i="4" s="1"/>
  <c r="C804" i="4" s="1"/>
  <c r="C805" i="4" s="1"/>
  <c r="C806" i="4" s="1"/>
  <c r="C807" i="4" s="1"/>
  <c r="E106" i="4"/>
  <c r="E124" i="4"/>
  <c r="E71" i="4"/>
  <c r="E54" i="4"/>
  <c r="C816" i="4"/>
  <c r="C817" i="4" s="1"/>
  <c r="C818" i="4" s="1"/>
  <c r="C819" i="4" s="1"/>
  <c r="C820" i="4" s="1"/>
  <c r="C821" i="4" s="1"/>
  <c r="C822" i="4" s="1"/>
  <c r="C823" i="4" s="1"/>
  <c r="C824" i="4" s="1"/>
  <c r="C825" i="4" s="1"/>
  <c r="E33" i="4"/>
  <c r="E122" i="4"/>
  <c r="E52" i="4"/>
  <c r="A96" i="4"/>
  <c r="B97" i="4" s="1"/>
  <c r="A1424" i="4"/>
  <c r="A330" i="4"/>
  <c r="A1460" i="4"/>
  <c r="A794" i="4"/>
  <c r="A1756" i="4"/>
  <c r="A1774" i="4"/>
  <c r="O959" i="4"/>
  <c r="A1882" i="4"/>
  <c r="E36" i="4"/>
  <c r="E123" i="4"/>
  <c r="E86" i="4"/>
  <c r="E51" i="4"/>
  <c r="E104" i="4"/>
  <c r="E127" i="4"/>
  <c r="E53" i="4"/>
  <c r="A722" i="4"/>
  <c r="A1442" i="4"/>
  <c r="A467" i="4"/>
  <c r="A1720" i="4"/>
  <c r="A1244" i="4"/>
  <c r="E109" i="4"/>
  <c r="E37" i="4"/>
  <c r="E69" i="4"/>
  <c r="E91" i="4"/>
  <c r="E50" i="4"/>
  <c r="A168" i="4"/>
  <c r="N796" i="4"/>
  <c r="O797" i="4" s="1"/>
  <c r="A1370" i="4"/>
  <c r="A1190" i="4"/>
  <c r="A830" i="4"/>
  <c r="N830" i="4" s="1"/>
  <c r="A60" i="4"/>
  <c r="E108" i="4"/>
  <c r="E73" i="4"/>
  <c r="E90" i="4"/>
  <c r="A1900" i="4"/>
  <c r="A1208" i="4"/>
  <c r="A565" i="4"/>
  <c r="B566" i="4" s="1"/>
  <c r="A1082" i="4"/>
  <c r="A449" i="4"/>
  <c r="B450" i="4" s="1"/>
  <c r="A1154" i="4"/>
  <c r="A1316" i="4"/>
  <c r="A902" i="4"/>
  <c r="N902" i="4" s="1"/>
  <c r="E105" i="4"/>
  <c r="E126" i="4"/>
  <c r="E87" i="4"/>
  <c r="B141" i="4"/>
  <c r="A705" i="4"/>
  <c r="B705" i="4" s="1"/>
  <c r="A548" i="4"/>
  <c r="B549" i="4" s="1"/>
  <c r="B1613" i="4"/>
  <c r="N1612" i="4"/>
  <c r="R993" i="4"/>
  <c r="O977" i="4"/>
  <c r="A1335" i="4"/>
  <c r="B1335" i="4" s="1"/>
  <c r="A1137" i="4"/>
  <c r="B803" i="4"/>
  <c r="N802" i="4"/>
  <c r="B1037" i="4"/>
  <c r="N1036" i="4"/>
  <c r="O1037" i="4" s="1"/>
  <c r="B929" i="4"/>
  <c r="N928" i="4"/>
  <c r="O929" i="4" s="1"/>
  <c r="A1191" i="4"/>
  <c r="B1192" i="4" s="1"/>
  <c r="B839" i="4"/>
  <c r="N838" i="4"/>
  <c r="A25" i="4"/>
  <c r="B26" i="4" s="1"/>
  <c r="A687" i="4"/>
  <c r="A669" i="4"/>
  <c r="B670" i="4" s="1"/>
  <c r="A277" i="4"/>
  <c r="B278" i="4" s="1"/>
  <c r="A885" i="4"/>
  <c r="N885" i="4" s="1"/>
  <c r="O1049" i="4"/>
  <c r="B947" i="4"/>
  <c r="N946" i="4"/>
  <c r="A313" i="4"/>
  <c r="B314" i="4" s="1"/>
  <c r="B1055" i="4"/>
  <c r="N1054" i="4"/>
  <c r="A486" i="4"/>
  <c r="B487" i="4" s="1"/>
  <c r="A133" i="4"/>
  <c r="B134" i="4" s="1"/>
  <c r="A468" i="4"/>
  <c r="B469" i="4" s="1"/>
  <c r="A1605" i="4"/>
  <c r="N1605" i="4" s="1"/>
  <c r="O1605" i="4" s="1"/>
  <c r="A975" i="4"/>
  <c r="N975" i="4" s="1"/>
  <c r="O975" i="4" s="1"/>
  <c r="B8" i="4"/>
  <c r="A741" i="4"/>
  <c r="B742" i="4" s="1"/>
  <c r="A115" i="4"/>
  <c r="A1739" i="4"/>
  <c r="B1740" i="4" s="1"/>
  <c r="O833" i="4"/>
  <c r="A1623" i="4"/>
  <c r="B1624" i="4" s="1"/>
  <c r="O887" i="4"/>
  <c r="B965" i="4"/>
  <c r="N964" i="4"/>
  <c r="A1883" i="4"/>
  <c r="B1884" i="4" s="1"/>
  <c r="B556" i="4"/>
  <c r="A388" i="4"/>
  <c r="B389" i="4" s="1"/>
  <c r="A43" i="4"/>
  <c r="B44" i="4" s="1"/>
  <c r="A499" i="4"/>
  <c r="A1011" i="4"/>
  <c r="N1011" i="4" s="1"/>
  <c r="A517" i="4"/>
  <c r="B517" i="4" s="1"/>
  <c r="A1047" i="4"/>
  <c r="N1047" i="4" s="1"/>
  <c r="O1047" i="4" s="1"/>
  <c r="A1281" i="4"/>
  <c r="B1282" i="4" s="1"/>
  <c r="A414" i="4"/>
  <c r="A1497" i="4"/>
  <c r="O1031" i="4"/>
  <c r="B1073" i="4"/>
  <c r="N1072" i="4"/>
  <c r="B857" i="4"/>
  <c r="N856" i="4"/>
  <c r="A1901" i="4"/>
  <c r="A1353" i="4"/>
  <c r="B1354" i="4" s="1"/>
  <c r="O905" i="4"/>
  <c r="A939" i="4"/>
  <c r="N939" i="4" s="1"/>
  <c r="O940" i="4" s="1"/>
  <c r="B1001" i="4"/>
  <c r="N1000" i="4"/>
  <c r="R832" i="4"/>
  <c r="A1263" i="4"/>
  <c r="B1263" i="4" s="1"/>
  <c r="B911" i="4"/>
  <c r="N910" i="4"/>
  <c r="A375" i="4"/>
  <c r="B376" i="4" s="1"/>
  <c r="A1703" i="4"/>
  <c r="B1704" i="4" s="1"/>
  <c r="A1407" i="4"/>
  <c r="B1408" i="4" s="1"/>
  <c r="A1209" i="4"/>
  <c r="B1210" i="4" s="1"/>
  <c r="A1299" i="4"/>
  <c r="B1300" i="4" s="1"/>
  <c r="O851" i="4"/>
  <c r="B983" i="4"/>
  <c r="N982" i="4"/>
  <c r="B1019" i="4"/>
  <c r="N1018" i="4"/>
  <c r="A566" i="4"/>
  <c r="A597" i="4"/>
  <c r="A432" i="4"/>
  <c r="B432" i="4" s="1"/>
  <c r="A957" i="4"/>
  <c r="N957" i="4" s="1"/>
  <c r="O958" i="4" s="1"/>
  <c r="A1721" i="4"/>
  <c r="A1065" i="4"/>
  <c r="N1065" i="4" s="1"/>
  <c r="O1066" i="4" s="1"/>
  <c r="A1551" i="4"/>
  <c r="B1552" i="4" s="1"/>
  <c r="A1101" i="4"/>
  <c r="B1102" i="4" s="1"/>
  <c r="A1793" i="4"/>
  <c r="A1389" i="4"/>
  <c r="B1390" i="4" s="1"/>
  <c r="A1775" i="4"/>
  <c r="B1776" i="4" s="1"/>
  <c r="A1641" i="4"/>
  <c r="B1642" i="4" s="1"/>
  <c r="O1067" i="4"/>
  <c r="O923" i="4"/>
  <c r="O995" i="4"/>
  <c r="B875" i="4"/>
  <c r="N874" i="4"/>
  <c r="B893" i="4"/>
  <c r="N892" i="4"/>
  <c r="R312" i="4"/>
  <c r="R847" i="4"/>
  <c r="B1939" i="4"/>
  <c r="F214" i="4"/>
  <c r="F216" i="4"/>
  <c r="A1846" i="4"/>
  <c r="A204" i="4"/>
  <c r="A1738" i="4"/>
  <c r="A686" i="4"/>
  <c r="A1028" i="4"/>
  <c r="N1028" i="4" s="1"/>
  <c r="A884" i="4"/>
  <c r="N884" i="4" s="1"/>
  <c r="A1010" i="4"/>
  <c r="N1010" i="4" s="1"/>
  <c r="A1532" i="4"/>
  <c r="B7" i="4"/>
  <c r="A1406" i="4"/>
  <c r="A186" i="4"/>
  <c r="A240" i="4"/>
  <c r="A1136" i="4"/>
  <c r="A387" i="4"/>
  <c r="A114" i="4"/>
  <c r="A498" i="4"/>
  <c r="B499" i="4" s="1"/>
  <c r="A1864" i="4"/>
  <c r="A992" i="4"/>
  <c r="N992" i="4" s="1"/>
  <c r="A1496" i="4"/>
  <c r="A132" i="4"/>
  <c r="A740" i="4"/>
  <c r="A848" i="4"/>
  <c r="N848" i="4" s="1"/>
  <c r="A1226" i="4"/>
  <c r="A1352" i="4"/>
  <c r="A343" i="4"/>
  <c r="A668" i="4"/>
  <c r="A956" i="4"/>
  <c r="N956" i="4" s="1"/>
  <c r="A1298" i="4"/>
  <c r="A1118" i="4"/>
  <c r="A1100" i="4"/>
  <c r="AZ86" i="2"/>
  <c r="R1659" i="4"/>
  <c r="P1660" i="4"/>
  <c r="A938" i="4"/>
  <c r="N938" i="4" s="1"/>
  <c r="A650" i="4"/>
  <c r="A1388" i="4"/>
  <c r="A1172" i="4"/>
  <c r="A258" i="4"/>
  <c r="A1689" i="4"/>
  <c r="A1478" i="4"/>
  <c r="A1702" i="4"/>
  <c r="A578" i="4"/>
  <c r="A547" i="4"/>
  <c r="B548" i="4" s="1"/>
  <c r="A1622" i="4"/>
  <c r="A1568" i="4"/>
  <c r="A78" i="4"/>
  <c r="A1828" i="4"/>
  <c r="A1847" i="4"/>
  <c r="B1848" i="4" s="1"/>
  <c r="A205" i="4"/>
  <c r="A24" i="4"/>
  <c r="A1064" i="4"/>
  <c r="N1064" i="4" s="1"/>
  <c r="A413" i="4"/>
  <c r="A614" i="4"/>
  <c r="A374" i="4"/>
  <c r="A866" i="4"/>
  <c r="N866" i="4" s="1"/>
  <c r="A758" i="4"/>
  <c r="A1676" i="4"/>
  <c r="A1640" i="4"/>
  <c r="A596" i="4"/>
  <c r="A312" i="4"/>
  <c r="A1810" i="4"/>
  <c r="R1658" i="4"/>
  <c r="R1657" i="4"/>
  <c r="A187" i="4"/>
  <c r="B188" i="4" s="1"/>
  <c r="A241" i="4"/>
  <c r="A1443" i="4"/>
  <c r="B1443" i="4" s="1"/>
  <c r="A1119" i="4"/>
  <c r="B1120" i="4" s="1"/>
  <c r="A831" i="4"/>
  <c r="A867" i="4"/>
  <c r="A759" i="4"/>
  <c r="B760" i="4" s="1"/>
  <c r="A79" i="4"/>
  <c r="B80" i="4" s="1"/>
  <c r="A993" i="4"/>
  <c r="A579" i="4"/>
  <c r="A849" i="4"/>
  <c r="N849" i="4" s="1"/>
  <c r="A1173" i="4"/>
  <c r="A1919" i="4"/>
  <c r="B1919" i="4" s="1"/>
  <c r="A535" i="4"/>
  <c r="B535" i="4" s="1"/>
  <c r="A651" i="4"/>
  <c r="A1587" i="4"/>
  <c r="B1588" i="4" s="1"/>
  <c r="A615" i="4"/>
  <c r="B616" i="4" s="1"/>
  <c r="A169" i="4"/>
  <c r="A1461" i="4"/>
  <c r="B1462" i="4" s="1"/>
  <c r="A903" i="4"/>
  <c r="B904" i="4" s="1"/>
  <c r="A1083" i="4"/>
  <c r="B1084" i="4" s="1"/>
  <c r="A723" i="4"/>
  <c r="A777" i="4"/>
  <c r="B777" i="4" s="1"/>
  <c r="A331" i="4"/>
  <c r="A813" i="4"/>
  <c r="B813" i="4" s="1"/>
  <c r="A1425" i="4"/>
  <c r="B1426" i="4" s="1"/>
  <c r="A1569" i="4"/>
  <c r="B1570" i="4" s="1"/>
  <c r="A61" i="4"/>
  <c r="B62" i="4" s="1"/>
  <c r="A1479" i="4"/>
  <c r="B1480" i="4" s="1"/>
  <c r="A259" i="4"/>
  <c r="A795" i="4"/>
  <c r="A1227" i="4"/>
  <c r="B1228" i="4" s="1"/>
  <c r="A1659" i="4"/>
  <c r="B1660" i="4" s="1"/>
  <c r="A97" i="4"/>
  <c r="B98" i="4" s="1"/>
  <c r="A1865" i="4"/>
  <c r="B1866" i="4" s="1"/>
  <c r="A1677" i="4"/>
  <c r="B1678" i="4" s="1"/>
  <c r="A1245" i="4"/>
  <c r="B1246" i="4" s="1"/>
  <c r="A1317" i="4"/>
  <c r="A1690" i="4"/>
  <c r="A1029" i="4"/>
  <c r="A151" i="4"/>
  <c r="B151" i="4" s="1"/>
  <c r="A1811" i="4"/>
  <c r="A357" i="4"/>
  <c r="B357" i="4" s="1"/>
  <c r="A344" i="4"/>
  <c r="B345" i="4" s="1"/>
  <c r="A1533" i="4"/>
  <c r="B1534" i="4" s="1"/>
  <c r="A1757" i="4"/>
  <c r="B1758" i="4" s="1"/>
  <c r="A223" i="4"/>
  <c r="B224" i="4" s="1"/>
  <c r="A401" i="4"/>
  <c r="B402" i="4" s="1"/>
  <c r="A921" i="4"/>
  <c r="B922" i="4" s="1"/>
  <c r="A450" i="4"/>
  <c r="B451" i="4" s="1"/>
  <c r="A1515" i="4"/>
  <c r="B1515" i="4" s="1"/>
  <c r="A1371" i="4"/>
  <c r="B1372" i="4" s="1"/>
  <c r="A1155" i="4"/>
  <c r="A633" i="4"/>
  <c r="B634" i="4" s="1"/>
  <c r="A1829" i="4"/>
  <c r="CM19" i="6"/>
  <c r="CM20" i="6" s="1"/>
  <c r="E20" i="6"/>
  <c r="G286" i="4"/>
  <c r="R311" i="4"/>
  <c r="B1831" i="4"/>
  <c r="R313" i="4"/>
  <c r="P1665" i="4"/>
  <c r="R1665" i="4"/>
  <c r="P1664" i="4"/>
  <c r="R1664" i="4"/>
  <c r="A1937" i="4"/>
  <c r="B1813" i="4"/>
  <c r="A1941" i="4"/>
  <c r="A1815" i="4"/>
  <c r="A1851" i="4"/>
  <c r="A1833" i="4"/>
  <c r="B1837" i="4"/>
  <c r="B1849" i="4"/>
  <c r="B1855" i="4"/>
  <c r="A1942" i="4"/>
  <c r="A1852" i="4"/>
  <c r="A1816" i="4"/>
  <c r="A1834" i="4"/>
  <c r="B1819" i="4"/>
  <c r="A1935" i="4"/>
  <c r="B1936" i="4" s="1"/>
  <c r="A1845" i="4"/>
  <c r="A1809" i="4"/>
  <c r="A1827" i="4"/>
  <c r="AZ54" i="2"/>
  <c r="AZ79" i="3"/>
  <c r="AZ52" i="2"/>
  <c r="AZ73" i="3"/>
  <c r="AZ14" i="2"/>
  <c r="AZ60" i="2"/>
  <c r="AZ93" i="2"/>
  <c r="AZ36" i="2"/>
  <c r="AZ91" i="2"/>
  <c r="G123" i="4"/>
  <c r="BE14" i="2" s="1"/>
  <c r="AZ87" i="2"/>
  <c r="AZ65" i="2"/>
  <c r="AZ49" i="2"/>
  <c r="AZ25" i="3"/>
  <c r="AZ20" i="2"/>
  <c r="AZ17" i="3"/>
  <c r="AZ68" i="2"/>
  <c r="AZ66" i="3"/>
  <c r="AZ55" i="2"/>
  <c r="AZ68" i="3"/>
  <c r="AZ50" i="2"/>
  <c r="AZ50" i="3"/>
  <c r="AZ58" i="2"/>
  <c r="AZ57" i="3"/>
  <c r="AZ63" i="2"/>
  <c r="AZ61" i="3"/>
  <c r="AZ48" i="2"/>
  <c r="AZ48" i="3"/>
  <c r="AZ17" i="2"/>
  <c r="AZ34" i="2"/>
  <c r="AZ39" i="3"/>
  <c r="AZ18" i="2"/>
  <c r="AZ16" i="3"/>
  <c r="AZ13" i="2"/>
  <c r="AZ8" i="3"/>
  <c r="AZ61" i="2"/>
  <c r="AZ60" i="3"/>
  <c r="AZ31" i="2"/>
  <c r="AZ35" i="3"/>
  <c r="AZ92" i="2"/>
  <c r="AZ76" i="3"/>
  <c r="AZ37" i="2"/>
  <c r="AZ42" i="3"/>
  <c r="AZ67" i="2"/>
  <c r="AZ65" i="3"/>
  <c r="AZ35" i="2"/>
  <c r="AZ40" i="3"/>
  <c r="AZ21" i="2"/>
  <c r="AZ18" i="3"/>
  <c r="AZ64" i="2"/>
  <c r="AZ62" i="3"/>
  <c r="AZ46" i="2"/>
  <c r="AZ46" i="3"/>
  <c r="AZ27" i="2"/>
  <c r="AZ31" i="3"/>
  <c r="AZ40" i="2"/>
  <c r="AZ45" i="3"/>
  <c r="AZ59" i="2"/>
  <c r="AZ58" i="3"/>
  <c r="AZ9" i="2"/>
  <c r="AZ5" i="3"/>
  <c r="AZ15" i="2"/>
  <c r="AZ26" i="2"/>
  <c r="BA38" i="3"/>
  <c r="AZ47" i="2"/>
  <c r="AZ47" i="3"/>
  <c r="AZ22" i="2"/>
  <c r="AZ19" i="3"/>
  <c r="H98" i="3"/>
  <c r="AZ57" i="2"/>
  <c r="AZ12" i="2"/>
  <c r="G526" i="4"/>
  <c r="AB20" i="6"/>
  <c r="G1560" i="4"/>
  <c r="BJ70" i="2" s="1"/>
  <c r="BL20" i="6"/>
  <c r="BI20" i="6"/>
  <c r="G1020" i="4"/>
  <c r="BJ67" i="2" s="1"/>
  <c r="C1520" i="4"/>
  <c r="C1521" i="4" s="1"/>
  <c r="C1522" i="4" s="1"/>
  <c r="C1523" i="4" s="1"/>
  <c r="C1524" i="4" s="1"/>
  <c r="C1525" i="4" s="1"/>
  <c r="C1526" i="4" s="1"/>
  <c r="C1527" i="4" s="1"/>
  <c r="G124" i="4"/>
  <c r="BJ14" i="2" s="1"/>
  <c r="K20" i="6"/>
  <c r="G1416" i="4"/>
  <c r="BJ76" i="2" s="1"/>
  <c r="BR20" i="6"/>
  <c r="G1434" i="4"/>
  <c r="BJ78" i="2" s="1"/>
  <c r="BT20" i="6"/>
  <c r="BE31" i="2"/>
  <c r="H525" i="4"/>
  <c r="BF31" i="2" s="1"/>
  <c r="G1596" i="4"/>
  <c r="BJ94" i="2" s="1"/>
  <c r="CJ20" i="6"/>
  <c r="BW20" i="6"/>
  <c r="G1488" i="4"/>
  <c r="BJ81" i="2" s="1"/>
  <c r="G983" i="4"/>
  <c r="BE65" i="2" s="1"/>
  <c r="BG19" i="6"/>
  <c r="BX20" i="6"/>
  <c r="G1506" i="4"/>
  <c r="BJ82" i="2" s="1"/>
  <c r="BQ20" i="6"/>
  <c r="G1398" i="4"/>
  <c r="BJ75" i="2" s="1"/>
  <c r="CG20" i="6"/>
  <c r="G1182" i="4"/>
  <c r="BJ91" i="2" s="1"/>
  <c r="J19" i="6"/>
  <c r="G105" i="4"/>
  <c r="BE13" i="2" s="1"/>
  <c r="BE19" i="6"/>
  <c r="G947" i="4"/>
  <c r="BE63" i="2" s="1"/>
  <c r="BA19" i="6"/>
  <c r="G893" i="4"/>
  <c r="BE59" i="2" s="1"/>
  <c r="G713" i="4"/>
  <c r="BE46" i="2" s="1"/>
  <c r="AN19" i="6"/>
  <c r="G458" i="4"/>
  <c r="BE27" i="2" s="1"/>
  <c r="X19" i="6"/>
  <c r="G1666" i="4"/>
  <c r="C1448" i="4"/>
  <c r="C1449" i="4" s="1"/>
  <c r="C1450" i="4" s="1"/>
  <c r="C1451" i="4" s="1"/>
  <c r="C1452" i="4" s="1"/>
  <c r="C1453" i="4" s="1"/>
  <c r="C1454" i="4" s="1"/>
  <c r="C1455" i="4" s="1"/>
  <c r="C1592" i="4"/>
  <c r="C1593" i="4" s="1"/>
  <c r="C1594" i="4" s="1"/>
  <c r="C1595" i="4" s="1"/>
  <c r="C1596" i="4" s="1"/>
  <c r="C1597" i="4" s="1"/>
  <c r="C1598" i="4" s="1"/>
  <c r="C1599" i="4" s="1"/>
  <c r="C1412" i="4"/>
  <c r="C1413" i="4" s="1"/>
  <c r="C1414" i="4" s="1"/>
  <c r="C1415" i="4" s="1"/>
  <c r="C1416" i="4" s="1"/>
  <c r="C1417" i="4" s="1"/>
  <c r="C1418" i="4" s="1"/>
  <c r="C1419" i="4" s="1"/>
  <c r="C1322" i="4"/>
  <c r="C1250" i="4"/>
  <c r="C1251" i="4" s="1"/>
  <c r="C1252" i="4" s="1"/>
  <c r="C1253" i="4" s="1"/>
  <c r="C1254" i="4" s="1"/>
  <c r="C1255" i="4" s="1"/>
  <c r="C1256" i="4" s="1"/>
  <c r="C1257" i="4" s="1"/>
  <c r="O19" i="6"/>
  <c r="G231" i="4"/>
  <c r="BE20" i="2" s="1"/>
  <c r="CC20" i="6"/>
  <c r="G1128" i="4"/>
  <c r="BJ87" i="2" s="1"/>
  <c r="G141" i="4"/>
  <c r="BE15" i="2" s="1"/>
  <c r="L19" i="6"/>
  <c r="BZ20" i="6"/>
  <c r="G1542" i="4"/>
  <c r="BJ84" i="2" s="1"/>
  <c r="BN19" i="6"/>
  <c r="G1343" i="4"/>
  <c r="BE72" i="2" s="1"/>
  <c r="G822" i="4"/>
  <c r="BJ52" i="2" s="1"/>
  <c r="AT20" i="6"/>
  <c r="C1610" i="4"/>
  <c r="C1611" i="4" s="1"/>
  <c r="C1612" i="4" s="1"/>
  <c r="C1613" i="4" s="1"/>
  <c r="C1614" i="4" s="1"/>
  <c r="C1615" i="4" s="1"/>
  <c r="C1616" i="4" s="1"/>
  <c r="C1617" i="4" s="1"/>
  <c r="C1502" i="4"/>
  <c r="C1503" i="4" s="1"/>
  <c r="C1504" i="4" s="1"/>
  <c r="C1505" i="4" s="1"/>
  <c r="C1506" i="4" s="1"/>
  <c r="C1507" i="4" s="1"/>
  <c r="C1508" i="4" s="1"/>
  <c r="C1509" i="4" s="1"/>
  <c r="G267" i="4"/>
  <c r="BE22" i="2" s="1"/>
  <c r="Q19" i="6"/>
  <c r="C1376" i="4"/>
  <c r="C1377" i="4" s="1"/>
  <c r="C1378" i="4" s="1"/>
  <c r="C1379" i="4" s="1"/>
  <c r="C1380" i="4" s="1"/>
  <c r="C1381" i="4" s="1"/>
  <c r="C1382" i="4" s="1"/>
  <c r="C1383" i="4" s="1"/>
  <c r="AP19" i="6"/>
  <c r="G749" i="4"/>
  <c r="BE48" i="2" s="1"/>
  <c r="BC19" i="6"/>
  <c r="G929" i="4"/>
  <c r="BE61" i="2" s="1"/>
  <c r="G19" i="6"/>
  <c r="G33" i="4"/>
  <c r="BE9" i="2" s="1"/>
  <c r="CE19" i="6"/>
  <c r="G1577" i="4"/>
  <c r="BE89" i="2" s="1"/>
  <c r="G1110" i="4"/>
  <c r="BJ86" i="2" s="1"/>
  <c r="CB20" i="6"/>
  <c r="AX19" i="6"/>
  <c r="G839" i="4"/>
  <c r="BE56" i="2" s="1"/>
  <c r="G1325" i="4"/>
  <c r="BE71" i="2" s="1"/>
  <c r="BM19" i="6"/>
  <c r="G587" i="4"/>
  <c r="BE34" i="2" s="1"/>
  <c r="AF19" i="6"/>
  <c r="CF20" i="6"/>
  <c r="G1164" i="4"/>
  <c r="BJ90" i="2" s="1"/>
  <c r="CT19" i="6"/>
  <c r="G1729" i="4"/>
  <c r="BE101" i="2" s="1"/>
  <c r="CO20" i="6"/>
  <c r="G1874" i="4"/>
  <c r="BJ98" i="2" s="1"/>
  <c r="G1452" i="4"/>
  <c r="BJ79" i="2" s="1"/>
  <c r="BU20" i="6"/>
  <c r="G1002" i="4"/>
  <c r="BJ66" i="2" s="1"/>
  <c r="BH20" i="6"/>
  <c r="G87" i="4"/>
  <c r="BE12" i="2" s="1"/>
  <c r="I19" i="6"/>
  <c r="G320" i="4"/>
  <c r="CA20" i="6"/>
  <c r="G1092" i="4"/>
  <c r="BJ85" i="2" s="1"/>
  <c r="AZ19" i="6"/>
  <c r="G875" i="4"/>
  <c r="BE58" i="2" s="1"/>
  <c r="G1613" i="4"/>
  <c r="BE62" i="2" s="1"/>
  <c r="BD19" i="6"/>
  <c r="G912" i="4"/>
  <c r="BJ60" i="2" s="1"/>
  <c r="BB20" i="6"/>
  <c r="BO20" i="6"/>
  <c r="G1362" i="4"/>
  <c r="BJ73" i="2" s="1"/>
  <c r="CW20" i="6"/>
  <c r="G1784" i="4"/>
  <c r="BJ103" i="2" s="1"/>
  <c r="G1764" i="4"/>
  <c r="AZ102" i="2" s="1"/>
  <c r="G1270" i="4"/>
  <c r="AZ53" i="2" s="1"/>
  <c r="C1268" i="4"/>
  <c r="C1269" i="4" s="1"/>
  <c r="C1270" i="4" s="1"/>
  <c r="C1271" i="4" s="1"/>
  <c r="C1272" i="4" s="1"/>
  <c r="C1273" i="4" s="1"/>
  <c r="C1274" i="4" s="1"/>
  <c r="C1275" i="4" s="1"/>
  <c r="BS20" i="6"/>
  <c r="G1632" i="4"/>
  <c r="BJ77" i="2" s="1"/>
  <c r="G732" i="4"/>
  <c r="BJ47" i="2" s="1"/>
  <c r="AO20" i="6"/>
  <c r="C1576" i="4"/>
  <c r="C1577" i="4" s="1"/>
  <c r="C1578" i="4" s="1"/>
  <c r="C1579" i="4" s="1"/>
  <c r="C1580" i="4" s="1"/>
  <c r="C1581" i="4" s="1"/>
  <c r="G802" i="4"/>
  <c r="AZ51" i="3" s="1"/>
  <c r="G555" i="4"/>
  <c r="AD18" i="6"/>
  <c r="C1484" i="4"/>
  <c r="C1485" i="4" s="1"/>
  <c r="C1486" i="4" s="1"/>
  <c r="C1487" i="4" s="1"/>
  <c r="C1488" i="4" s="1"/>
  <c r="C1489" i="4" s="1"/>
  <c r="C1490" i="4" s="1"/>
  <c r="C1491" i="4" s="1"/>
  <c r="C1645" i="4"/>
  <c r="AH20" i="6"/>
  <c r="G624" i="4"/>
  <c r="BJ36" i="2" s="1"/>
  <c r="M20" i="6"/>
  <c r="G178" i="4"/>
  <c r="BJ17" i="2" s="1"/>
  <c r="G1379" i="4"/>
  <c r="BE74" i="2" s="1"/>
  <c r="BP19" i="6"/>
  <c r="G605" i="4"/>
  <c r="BE35" i="2" s="1"/>
  <c r="AG19" i="6"/>
  <c r="BY19" i="6"/>
  <c r="G1523" i="4"/>
  <c r="BE83" i="2" s="1"/>
  <c r="AL20" i="6"/>
  <c r="G696" i="4"/>
  <c r="BJ40" i="2" s="1"/>
  <c r="V20" i="6"/>
  <c r="G423" i="4"/>
  <c r="BJ25" i="2" s="1"/>
  <c r="BK20" i="6"/>
  <c r="G1056" i="4"/>
  <c r="BJ69" i="2" s="1"/>
  <c r="N19" i="6"/>
  <c r="G195" i="4"/>
  <c r="BE18" i="2" s="1"/>
  <c r="R98" i="3"/>
  <c r="CH20" i="6"/>
  <c r="G1200" i="4"/>
  <c r="BJ92" i="2" s="1"/>
  <c r="AV19" i="6"/>
  <c r="G1289" i="4"/>
  <c r="BE54" i="2" s="1"/>
  <c r="C1466" i="4"/>
  <c r="C1467" i="4" s="1"/>
  <c r="C1468" i="4" s="1"/>
  <c r="C1469" i="4" s="1"/>
  <c r="C1470" i="4" s="1"/>
  <c r="C1471" i="4" s="1"/>
  <c r="C1472" i="4" s="1"/>
  <c r="C1473" i="4" s="1"/>
  <c r="G14" i="4"/>
  <c r="AZ4" i="3" s="1"/>
  <c r="G1306" i="4"/>
  <c r="AZ6" i="2" s="1"/>
  <c r="D18" i="6"/>
  <c r="C1340" i="4"/>
  <c r="C1341" i="4" s="1"/>
  <c r="C1342" i="4" s="1"/>
  <c r="C1343" i="4" s="1"/>
  <c r="C1344" i="4" s="1"/>
  <c r="C1345" i="4" s="1"/>
  <c r="C1346" i="4" s="1"/>
  <c r="C1347" i="4" s="1"/>
  <c r="C1430" i="4"/>
  <c r="C1431" i="4" s="1"/>
  <c r="C1432" i="4" s="1"/>
  <c r="C1433" i="4" s="1"/>
  <c r="C1434" i="4" s="1"/>
  <c r="C1435" i="4" s="1"/>
  <c r="C1436" i="4" s="1"/>
  <c r="C1437" i="4" s="1"/>
  <c r="G768" i="4"/>
  <c r="BJ49" i="2" s="1"/>
  <c r="AQ20" i="6"/>
  <c r="G1747" i="4"/>
  <c r="BE41" i="2" s="1"/>
  <c r="CU19" i="6"/>
  <c r="AW19" i="6"/>
  <c r="G1073" i="4"/>
  <c r="BE55" i="2" s="1"/>
  <c r="BV20" i="6"/>
  <c r="G1470" i="4"/>
  <c r="BJ80" i="2" s="1"/>
  <c r="G250" i="4"/>
  <c r="BJ21" i="2" s="1"/>
  <c r="P20" i="6"/>
  <c r="G1648" i="4"/>
  <c r="AZ97" i="2" s="1"/>
  <c r="AZ42" i="2"/>
  <c r="AM18" i="6"/>
  <c r="C1556" i="4"/>
  <c r="C1557" i="4" s="1"/>
  <c r="C1558" i="4" s="1"/>
  <c r="C1559" i="4" s="1"/>
  <c r="C1560" i="4" s="1"/>
  <c r="C1561" i="4" s="1"/>
  <c r="C1562" i="4" s="1"/>
  <c r="C1563" i="4" s="1"/>
  <c r="G1037" i="4"/>
  <c r="BE68" i="2" s="1"/>
  <c r="BJ19" i="6"/>
  <c r="C20" i="6"/>
  <c r="G366" i="4"/>
  <c r="BJ5" i="2" s="1"/>
  <c r="W19" i="6"/>
  <c r="G440" i="4"/>
  <c r="BE26" i="2" s="1"/>
  <c r="M98" i="3"/>
  <c r="G676" i="4"/>
  <c r="AK18" i="6"/>
  <c r="C1538" i="4"/>
  <c r="C1539" i="4" s="1"/>
  <c r="C1540" i="4" s="1"/>
  <c r="C1541" i="4" s="1"/>
  <c r="C1542" i="4" s="1"/>
  <c r="C1543" i="4" s="1"/>
  <c r="C1544" i="4" s="1"/>
  <c r="C1545" i="4" s="1"/>
  <c r="G475" i="4"/>
  <c r="Y18" i="6"/>
  <c r="C505" i="4"/>
  <c r="C506" i="4" s="1"/>
  <c r="C507" i="4" s="1"/>
  <c r="C508" i="4" s="1"/>
  <c r="C509" i="4" s="1"/>
  <c r="C510" i="4" s="1"/>
  <c r="C511" i="4" s="1"/>
  <c r="C1394" i="4"/>
  <c r="C1395" i="4" s="1"/>
  <c r="C1396" i="4" s="1"/>
  <c r="C1397" i="4" s="1"/>
  <c r="C1398" i="4" s="1"/>
  <c r="C1399" i="4" s="1"/>
  <c r="C1400" i="4" s="1"/>
  <c r="C1401" i="4" s="1"/>
  <c r="C1628" i="4"/>
  <c r="C1629" i="4" s="1"/>
  <c r="C1630" i="4" s="1"/>
  <c r="C1631" i="4" s="1"/>
  <c r="C1632" i="4" s="1"/>
  <c r="C1633" i="4" s="1"/>
  <c r="C1634" i="4" s="1"/>
  <c r="C1635" i="4" s="1"/>
  <c r="H20" i="6"/>
  <c r="G52" i="4"/>
  <c r="BJ10" i="2" s="1"/>
  <c r="AY20" i="6"/>
  <c r="G858" i="4"/>
  <c r="BJ57" i="2" s="1"/>
  <c r="AI20" i="6"/>
  <c r="G642" i="4"/>
  <c r="BJ37" i="2" s="1"/>
  <c r="G304" i="4"/>
  <c r="BJ8" i="2" s="1"/>
  <c r="F20" i="6"/>
  <c r="CD20" i="6"/>
  <c r="G1146" i="4"/>
  <c r="BJ88" i="2" s="1"/>
  <c r="CI20" i="6"/>
  <c r="G1218" i="4"/>
  <c r="BJ93" i="2" s="1"/>
  <c r="G1712" i="4"/>
  <c r="BJ100" i="2" s="1"/>
  <c r="CS20" i="6"/>
  <c r="BF19" i="6"/>
  <c r="G965" i="4"/>
  <c r="BE64" i="2" s="1"/>
  <c r="G785" i="4"/>
  <c r="BE50" i="2" s="1"/>
  <c r="AR19" i="6"/>
  <c r="H133" i="2"/>
  <c r="B1885" i="4"/>
  <c r="B1891" i="4"/>
  <c r="A1917" i="4"/>
  <c r="B1918" i="4" s="1"/>
  <c r="A1899" i="4"/>
  <c r="B1900" i="4" s="1"/>
  <c r="A1881" i="4"/>
  <c r="B1927" i="4"/>
  <c r="B1903" i="4"/>
  <c r="B1909" i="4"/>
  <c r="A1888" i="4"/>
  <c r="A1906" i="4"/>
  <c r="A1924" i="4"/>
  <c r="A1905" i="4"/>
  <c r="A1923" i="4"/>
  <c r="A1887" i="4"/>
  <c r="B1921" i="4"/>
  <c r="B1902" i="4"/>
  <c r="B1901" i="4"/>
  <c r="B153" i="4"/>
  <c r="G95" i="2"/>
  <c r="B69" i="4"/>
  <c r="A991" i="4"/>
  <c r="A149" i="4"/>
  <c r="B150" i="4" s="1"/>
  <c r="A59" i="4"/>
  <c r="A156" i="4"/>
  <c r="A66" i="4"/>
  <c r="A155" i="4"/>
  <c r="A65" i="4"/>
  <c r="B63" i="4"/>
  <c r="B159" i="4"/>
  <c r="B525" i="4"/>
  <c r="B1235" i="4"/>
  <c r="A1863" i="4"/>
  <c r="A311" i="4"/>
  <c r="A1477" i="4"/>
  <c r="A221" i="4"/>
  <c r="A113" i="4"/>
  <c r="B359" i="4"/>
  <c r="A1719" i="4"/>
  <c r="A533" i="4"/>
  <c r="B534" i="4" s="1"/>
  <c r="A1027" i="4"/>
  <c r="A1701" i="4"/>
  <c r="A430" i="4"/>
  <c r="B431" i="4" s="1"/>
  <c r="A1639" i="4"/>
  <c r="A1261" i="4"/>
  <c r="B1262" i="4" s="1"/>
  <c r="A1531" i="4"/>
  <c r="A1791" i="4"/>
  <c r="A1099" i="4"/>
  <c r="A775" i="4"/>
  <c r="A167" i="4"/>
  <c r="A1153" i="4"/>
  <c r="B1154" i="4" s="1"/>
  <c r="A865" i="4"/>
  <c r="A1688" i="4"/>
  <c r="A829" i="4"/>
  <c r="A412" i="4"/>
  <c r="A1657" i="4"/>
  <c r="B1658" i="4" s="1"/>
  <c r="A275" i="4"/>
  <c r="B276" i="4" s="1"/>
  <c r="A1675" i="4"/>
  <c r="A41" i="4"/>
  <c r="A721" i="4"/>
  <c r="A448" i="4"/>
  <c r="A1351" i="4"/>
  <c r="A1117" i="4"/>
  <c r="A466" i="4"/>
  <c r="A1567" i="4"/>
  <c r="A847" i="4"/>
  <c r="A1387" i="4"/>
  <c r="B6" i="4"/>
  <c r="A1459" i="4"/>
  <c r="B1460" i="4" s="1"/>
  <c r="A77" i="4"/>
  <c r="A1603" i="4"/>
  <c r="A1513" i="4"/>
  <c r="B1514" i="4" s="1"/>
  <c r="A1279" i="4"/>
  <c r="B1280" i="4" s="1"/>
  <c r="A131" i="4"/>
  <c r="A185" i="4"/>
  <c r="A1549" i="4"/>
  <c r="B1550" i="4" s="1"/>
  <c r="A703" i="4"/>
  <c r="A1135" i="4"/>
  <c r="A386" i="4"/>
  <c r="A973" i="4"/>
  <c r="A919" i="4"/>
  <c r="A329" i="4"/>
  <c r="A1297" i="4"/>
  <c r="A564" i="4"/>
  <c r="A613" i="4"/>
  <c r="A95" i="4"/>
  <c r="A685" i="4"/>
  <c r="A1009" i="4"/>
  <c r="A649" i="4"/>
  <c r="A1081" i="4"/>
  <c r="B1082" i="4" s="1"/>
  <c r="A1315" i="4"/>
  <c r="B1316" i="4" s="1"/>
  <c r="A1755" i="4"/>
  <c r="A1207" i="4"/>
  <c r="A901" i="4"/>
  <c r="B1607" i="4"/>
  <c r="A1225" i="4"/>
  <c r="A1243" i="4"/>
  <c r="A546" i="4"/>
  <c r="A937" i="4"/>
  <c r="A1045" i="4"/>
  <c r="A757" i="4"/>
  <c r="A373" i="4"/>
  <c r="B374" i="4" s="1"/>
  <c r="A1405" i="4"/>
  <c r="A955" i="4"/>
  <c r="A1171" i="4"/>
  <c r="A23" i="4"/>
  <c r="A1333" i="4"/>
  <c r="B1334" i="4" s="1"/>
  <c r="A484" i="4"/>
  <c r="B485" i="4" s="1"/>
  <c r="A1441" i="4"/>
  <c r="B1442" i="4" s="1"/>
  <c r="A667" i="4"/>
  <c r="A793" i="4"/>
  <c r="A883" i="4"/>
  <c r="A811" i="4"/>
  <c r="A739" i="4"/>
  <c r="A293" i="4"/>
  <c r="B294" i="4" s="1"/>
  <c r="A1423" i="4"/>
  <c r="B1424" i="4" s="1"/>
  <c r="B707" i="4"/>
  <c r="A515" i="4"/>
  <c r="A577" i="4"/>
  <c r="A342" i="4"/>
  <c r="A1773" i="4"/>
  <c r="A1737" i="4"/>
  <c r="A631" i="4"/>
  <c r="B632" i="4" s="1"/>
  <c r="A399" i="4"/>
  <c r="B400" i="4" s="1"/>
  <c r="A1189" i="4"/>
  <c r="A257" i="4"/>
  <c r="B258" i="4" s="1"/>
  <c r="A239" i="4"/>
  <c r="A355" i="4"/>
  <c r="B356" i="4" s="1"/>
  <c r="B599" i="4"/>
  <c r="A1369" i="4"/>
  <c r="A1495" i="4"/>
  <c r="H1265" i="4"/>
  <c r="A1063" i="4"/>
  <c r="A1585" i="4"/>
  <c r="A1621" i="4"/>
  <c r="O1621" i="4" s="1"/>
  <c r="A595" i="4"/>
  <c r="A497" i="4"/>
  <c r="B1013" i="4"/>
  <c r="B1319" i="4"/>
  <c r="B1247" i="4"/>
  <c r="B1193" i="4"/>
  <c r="B1355" i="4"/>
  <c r="B1391" i="4"/>
  <c r="B1103" i="4"/>
  <c r="B743" i="4"/>
  <c r="B1461" i="4"/>
  <c r="B1427" i="4"/>
  <c r="B725" i="4"/>
  <c r="B135" i="4"/>
  <c r="B171" i="4"/>
  <c r="B1589" i="4"/>
  <c r="B1499" i="4"/>
  <c r="B1445" i="4"/>
  <c r="B261" i="4"/>
  <c r="B1553" i="4"/>
  <c r="B117" i="4"/>
  <c r="B617" i="4"/>
  <c r="B959" i="4"/>
  <c r="B295" i="4"/>
  <c r="B1481" i="4"/>
  <c r="B923" i="4"/>
  <c r="B635" i="4"/>
  <c r="B519" i="4"/>
  <c r="B537" i="4"/>
  <c r="B277" i="4"/>
  <c r="B1692" i="4"/>
  <c r="B1794" i="4"/>
  <c r="B1139" i="4"/>
  <c r="B779" i="4"/>
  <c r="B653" i="4"/>
  <c r="B315" i="4"/>
  <c r="B1867" i="4"/>
  <c r="B1741" i="4"/>
  <c r="B977" i="4"/>
  <c r="B1373" i="4"/>
  <c r="B377" i="4"/>
  <c r="B452" i="4"/>
  <c r="B189" i="4"/>
  <c r="B833" i="4"/>
  <c r="B403" i="4"/>
  <c r="B1777" i="4"/>
  <c r="B1643" i="4"/>
  <c r="B724" i="4"/>
  <c r="C1140" i="4"/>
  <c r="C1141" i="4" s="1"/>
  <c r="B671" i="4"/>
  <c r="B1535" i="4"/>
  <c r="B1175" i="4"/>
  <c r="B346" i="4"/>
  <c r="B869" i="4"/>
  <c r="B81" i="4"/>
  <c r="B99" i="4"/>
  <c r="A1286" i="4"/>
  <c r="A1466" i="4"/>
  <c r="A1628" i="4"/>
  <c r="O1628" i="4" s="1"/>
  <c r="A674" i="4"/>
  <c r="A1160" i="4"/>
  <c r="A854" i="4"/>
  <c r="N854" i="4" s="1"/>
  <c r="A1664" i="4"/>
  <c r="A380" i="4"/>
  <c r="A836" i="4"/>
  <c r="N836" i="4" s="1"/>
  <c r="A602" i="4"/>
  <c r="A174" i="4"/>
  <c r="A1142" i="4"/>
  <c r="A1502" i="4"/>
  <c r="A1088" i="4"/>
  <c r="J1088" i="4" s="1"/>
  <c r="A30" i="4"/>
  <c r="A1430" i="4"/>
  <c r="A1070" i="4"/>
  <c r="N1070" i="4" s="1"/>
  <c r="A1052" i="4"/>
  <c r="N1052" i="4" s="1"/>
  <c r="A504" i="4"/>
  <c r="A455" i="4"/>
  <c r="A1016" i="4"/>
  <c r="N1016" i="4" s="1"/>
  <c r="A1232" i="4"/>
  <c r="A1250" i="4"/>
  <c r="A349" i="4"/>
  <c r="A1484" i="4"/>
  <c r="A1556" i="4"/>
  <c r="A1340" i="4"/>
  <c r="A406" i="4"/>
  <c r="A1358" i="4"/>
  <c r="A84" i="4"/>
  <c r="A1394" i="4"/>
  <c r="A764" i="4"/>
  <c r="A437" i="4"/>
  <c r="A282" i="4"/>
  <c r="A192" i="4"/>
  <c r="A138" i="4"/>
  <c r="A102" i="4"/>
  <c r="A890" i="4"/>
  <c r="A998" i="4"/>
  <c r="N998" i="4" s="1"/>
  <c r="A1798" i="4"/>
  <c r="A1520" i="4"/>
  <c r="A1592" i="4"/>
  <c r="A522" i="4"/>
  <c r="A620" i="4"/>
  <c r="A1268" i="4"/>
  <c r="A1610" i="4"/>
  <c r="N1610" i="4" s="1"/>
  <c r="A246" i="4"/>
  <c r="A1178" i="4"/>
  <c r="A1726" i="4"/>
  <c r="A1538" i="4"/>
  <c r="A1695" i="4"/>
  <c r="A728" i="4"/>
  <c r="A872" i="4"/>
  <c r="A710" i="4"/>
  <c r="A944" i="4"/>
  <c r="A782" i="4"/>
  <c r="A638" i="4"/>
  <c r="A962" i="4"/>
  <c r="A1124" i="4"/>
  <c r="A1708" i="4"/>
  <c r="A656" i="4"/>
  <c r="A571" i="4"/>
  <c r="A1448" i="4"/>
  <c r="A1196" i="4"/>
  <c r="A1870" i="4"/>
  <c r="A419" i="4"/>
  <c r="A1574" i="4"/>
  <c r="A393" i="4"/>
  <c r="A1106" i="4"/>
  <c r="A1412" i="4"/>
  <c r="A540" i="4"/>
  <c r="A48" i="4"/>
  <c r="A1304" i="4"/>
  <c r="A318" i="4"/>
  <c r="A473" i="4"/>
  <c r="A362" i="4"/>
  <c r="A553" i="4"/>
  <c r="A1744" i="4"/>
  <c r="A1376" i="4"/>
  <c r="A1762" i="4"/>
  <c r="A692" i="4"/>
  <c r="A980" i="4"/>
  <c r="N980" i="4" s="1"/>
  <c r="A1780" i="4"/>
  <c r="A1214" i="4"/>
  <c r="A228" i="4"/>
  <c r="A264" i="4"/>
  <c r="A908" i="4"/>
  <c r="A491" i="4"/>
  <c r="A120" i="4"/>
  <c r="B12" i="4"/>
  <c r="A1034" i="4"/>
  <c r="N1034" i="4" s="1"/>
  <c r="A300" i="4"/>
  <c r="A584" i="4"/>
  <c r="A1682" i="4"/>
  <c r="A746" i="4"/>
  <c r="A1646" i="4"/>
  <c r="A818" i="4"/>
  <c r="A336" i="4"/>
  <c r="A926" i="4"/>
  <c r="A800" i="4"/>
  <c r="N800" i="4" s="1"/>
  <c r="A1322" i="4"/>
  <c r="B1031" i="4"/>
  <c r="B1067" i="4"/>
  <c r="B27" i="4"/>
  <c r="B689" i="4"/>
  <c r="B390" i="4"/>
  <c r="B550" i="4"/>
  <c r="B1625" i="4"/>
  <c r="B1049" i="4"/>
  <c r="A1267" i="4"/>
  <c r="A1483" i="4"/>
  <c r="A817" i="4"/>
  <c r="A1393" i="4"/>
  <c r="A552" i="4"/>
  <c r="A655" i="4"/>
  <c r="A299" i="4"/>
  <c r="A583" i="4"/>
  <c r="A673" i="4"/>
  <c r="A173" i="4"/>
  <c r="A191" i="4"/>
  <c r="A137" i="4"/>
  <c r="A47" i="4"/>
  <c r="A1869" i="4"/>
  <c r="A997" i="4"/>
  <c r="N997" i="4" s="1"/>
  <c r="A745" i="4"/>
  <c r="A418" i="4"/>
  <c r="A1501" i="4"/>
  <c r="A943" i="4"/>
  <c r="N943" i="4" s="1"/>
  <c r="A1285" i="4"/>
  <c r="A379" i="4"/>
  <c r="A925" i="4"/>
  <c r="N925" i="4" s="1"/>
  <c r="A1321" i="4"/>
  <c r="A1051" i="4"/>
  <c r="N1051" i="4" s="1"/>
  <c r="A1465" i="4"/>
  <c r="A1141" i="4"/>
  <c r="A979" i="4"/>
  <c r="N979" i="4" s="1"/>
  <c r="A1123" i="4"/>
  <c r="A503" i="4"/>
  <c r="A521" i="4"/>
  <c r="A1339" i="4"/>
  <c r="A1015" i="4"/>
  <c r="N1015" i="4" s="1"/>
  <c r="A1249" i="4"/>
  <c r="A436" i="4"/>
  <c r="A1779" i="4"/>
  <c r="A361" i="4"/>
  <c r="A1447" i="4"/>
  <c r="A227" i="4"/>
  <c r="A1069" i="4"/>
  <c r="N1069" i="4" s="1"/>
  <c r="A1694" i="4"/>
  <c r="A637" i="4"/>
  <c r="A835" i="4"/>
  <c r="N835" i="4" s="1"/>
  <c r="A1743" i="4"/>
  <c r="A601" i="4"/>
  <c r="A1195" i="4"/>
  <c r="A1519" i="4"/>
  <c r="A335" i="4"/>
  <c r="A1681" i="4"/>
  <c r="A1213" i="4"/>
  <c r="A263" i="4"/>
  <c r="A245" i="4"/>
  <c r="A853" i="4"/>
  <c r="N853" i="4" s="1"/>
  <c r="A1087" i="4"/>
  <c r="A907" i="4"/>
  <c r="N907" i="4" s="1"/>
  <c r="A490" i="4"/>
  <c r="A1411" i="4"/>
  <c r="A29" i="4"/>
  <c r="A1627" i="4"/>
  <c r="O1627" i="4" s="1"/>
  <c r="A83" i="4"/>
  <c r="A1645" i="4"/>
  <c r="A1573" i="4"/>
  <c r="A281" i="4"/>
  <c r="A1231" i="4"/>
  <c r="A1609" i="4"/>
  <c r="N1609" i="4" s="1"/>
  <c r="A101" i="4"/>
  <c r="A1429" i="4"/>
  <c r="A1357" i="4"/>
  <c r="A405" i="4"/>
  <c r="A781" i="4"/>
  <c r="A763" i="4"/>
  <c r="A961" i="4"/>
  <c r="N961" i="4" s="1"/>
  <c r="A727" i="4"/>
  <c r="A1537" i="4"/>
  <c r="A889" i="4"/>
  <c r="N889" i="4" s="1"/>
  <c r="A119" i="4"/>
  <c r="A709" i="4"/>
  <c r="A1303" i="4"/>
  <c r="A871" i="4"/>
  <c r="N871" i="4" s="1"/>
  <c r="A1159" i="4"/>
  <c r="A539" i="4"/>
  <c r="A1177" i="4"/>
  <c r="A691" i="4"/>
  <c r="A1555" i="4"/>
  <c r="A799" i="4"/>
  <c r="N799" i="4" s="1"/>
  <c r="A392" i="4"/>
  <c r="A317" i="4"/>
  <c r="A1707" i="4"/>
  <c r="A1761" i="4"/>
  <c r="A570" i="4"/>
  <c r="A619" i="4"/>
  <c r="A472" i="4"/>
  <c r="A1591" i="4"/>
  <c r="A454" i="4"/>
  <c r="A1105" i="4"/>
  <c r="A1033" i="4"/>
  <c r="N1033" i="4" s="1"/>
  <c r="A1375" i="4"/>
  <c r="A1725" i="4"/>
  <c r="A1797" i="4"/>
  <c r="A348" i="4"/>
  <c r="A1663" i="4"/>
  <c r="C1122" i="4"/>
  <c r="C1123" i="4" s="1"/>
  <c r="C1124" i="4" s="1"/>
  <c r="C1125" i="4" s="1"/>
  <c r="C1126" i="4" s="1"/>
  <c r="B1301" i="4"/>
  <c r="B296" i="4"/>
  <c r="B297" i="4"/>
  <c r="B488" i="4"/>
  <c r="B225" i="4"/>
  <c r="B242" i="4"/>
  <c r="B243" i="4"/>
  <c r="B45" i="4"/>
  <c r="AX24" i="2"/>
  <c r="C1194" i="4"/>
  <c r="C1195" i="4" s="1"/>
  <c r="C1196" i="4" s="1"/>
  <c r="B1793" i="4"/>
  <c r="B1283" i="4"/>
  <c r="B1705" i="4"/>
  <c r="B1723" i="4"/>
  <c r="B1121" i="4"/>
  <c r="B434" i="4"/>
  <c r="B1571" i="4"/>
  <c r="B1265" i="4"/>
  <c r="B1517" i="4"/>
  <c r="B1691" i="4"/>
  <c r="B1795" i="4"/>
  <c r="B416" i="4"/>
  <c r="B415" i="4"/>
  <c r="B1661" i="4"/>
  <c r="G4" i="5"/>
  <c r="B1157" i="4"/>
  <c r="B1759" i="4"/>
  <c r="B501" i="4"/>
  <c r="B500" i="4"/>
  <c r="B797" i="4"/>
  <c r="B1211" i="4"/>
  <c r="B941" i="4"/>
  <c r="B1229" i="4"/>
  <c r="B580" i="4"/>
  <c r="B581" i="4"/>
  <c r="B470" i="4"/>
  <c r="B761" i="4"/>
  <c r="B1409" i="4"/>
  <c r="B1679" i="4"/>
  <c r="C136" i="4"/>
  <c r="B994" i="4"/>
  <c r="B995" i="4"/>
  <c r="B279" i="4"/>
  <c r="B333" i="4"/>
  <c r="B1085" i="4"/>
  <c r="B905" i="4"/>
  <c r="B568" i="4"/>
  <c r="B567" i="4"/>
  <c r="B850" i="4"/>
  <c r="B851" i="4"/>
  <c r="B815" i="4"/>
  <c r="B1337" i="4"/>
  <c r="B1463" i="4"/>
  <c r="B887" i="4"/>
  <c r="E1455" i="4" l="1"/>
  <c r="E1541" i="4"/>
  <c r="E1432" i="4"/>
  <c r="E1527" i="4"/>
  <c r="E1491" i="4"/>
  <c r="E1508" i="4"/>
  <c r="B886" i="4"/>
  <c r="B1703" i="4"/>
  <c r="B1775" i="4"/>
  <c r="E1452" i="4"/>
  <c r="E1540" i="4"/>
  <c r="E1472" i="4"/>
  <c r="E1523" i="4"/>
  <c r="E1487" i="4"/>
  <c r="E1631" i="4"/>
  <c r="E1561" i="4"/>
  <c r="E1594" i="4"/>
  <c r="B204" i="4"/>
  <c r="E1450" i="4"/>
  <c r="E1434" i="4"/>
  <c r="E1473" i="4"/>
  <c r="B975" i="4"/>
  <c r="B486" i="4"/>
  <c r="B96" i="4"/>
  <c r="B1978" i="4"/>
  <c r="E1542" i="4"/>
  <c r="E1435" i="4"/>
  <c r="E1469" i="4"/>
  <c r="E1526" i="4"/>
  <c r="E1633" i="4"/>
  <c r="E1559" i="4"/>
  <c r="E1507" i="4"/>
  <c r="E1598" i="4"/>
  <c r="B518" i="4"/>
  <c r="E1525" i="4"/>
  <c r="E1504" i="4"/>
  <c r="B976" i="4"/>
  <c r="B1190" i="4"/>
  <c r="B1208" i="4"/>
  <c r="B449" i="4"/>
  <c r="B1882" i="4"/>
  <c r="E1451" i="4"/>
  <c r="E1543" i="4"/>
  <c r="E1436" i="4"/>
  <c r="E1470" i="4"/>
  <c r="E1488" i="4"/>
  <c r="E1558" i="4"/>
  <c r="E1505" i="4"/>
  <c r="E1599" i="4"/>
  <c r="C1646" i="4"/>
  <c r="C1647" i="4" s="1"/>
  <c r="C1648" i="4" s="1"/>
  <c r="C1649" i="4" s="1"/>
  <c r="C1650" i="4" s="1"/>
  <c r="C1651" i="4" s="1"/>
  <c r="C1652" i="4" s="1"/>
  <c r="C1653" i="4" s="1"/>
  <c r="E1468" i="4"/>
  <c r="E1524" i="4"/>
  <c r="E1486" i="4"/>
  <c r="B1336" i="4"/>
  <c r="B358" i="4"/>
  <c r="B1444" i="4"/>
  <c r="B1756" i="4"/>
  <c r="B722" i="4"/>
  <c r="B1640" i="4"/>
  <c r="B152" i="4"/>
  <c r="B1155" i="4"/>
  <c r="B313" i="4"/>
  <c r="B1389" i="4"/>
  <c r="E234" i="4"/>
  <c r="E1453" i="4"/>
  <c r="E1544" i="4"/>
  <c r="E1437" i="4"/>
  <c r="E1471" i="4"/>
  <c r="E1489" i="4"/>
  <c r="E1632" i="4"/>
  <c r="E1506" i="4"/>
  <c r="E1595" i="4"/>
  <c r="B187" i="4"/>
  <c r="B723" i="4"/>
  <c r="E230" i="4"/>
  <c r="B1973" i="4"/>
  <c r="B687" i="4"/>
  <c r="E235" i="4"/>
  <c r="B2009" i="4"/>
  <c r="B1974" i="4"/>
  <c r="B1137" i="4"/>
  <c r="E231" i="4"/>
  <c r="E233" i="4"/>
  <c r="B1954" i="4"/>
  <c r="B1136" i="4"/>
  <c r="B1865" i="4"/>
  <c r="B579" i="4"/>
  <c r="E232" i="4"/>
  <c r="B1955" i="4"/>
  <c r="B1956" i="4"/>
  <c r="B1960" i="4"/>
  <c r="B1996" i="4"/>
  <c r="B2014" i="4"/>
  <c r="B565" i="4"/>
  <c r="B433" i="4"/>
  <c r="B1496" i="4"/>
  <c r="B1388" i="4"/>
  <c r="B1478" i="4"/>
  <c r="B1641" i="4"/>
  <c r="B597" i="4"/>
  <c r="N794" i="4"/>
  <c r="B133" i="4"/>
  <c r="B25" i="4"/>
  <c r="B1047" i="4"/>
  <c r="B669" i="4"/>
  <c r="B498" i="4"/>
  <c r="B1370" i="4"/>
  <c r="B1738" i="4"/>
  <c r="B547" i="4"/>
  <c r="B330" i="4"/>
  <c r="B168" i="4"/>
  <c r="B169" i="4"/>
  <c r="C137" i="4"/>
  <c r="B1191" i="4"/>
  <c r="B688" i="4"/>
  <c r="B1774" i="4"/>
  <c r="B1156" i="4"/>
  <c r="B467" i="4"/>
  <c r="B1497" i="4"/>
  <c r="B958" i="4"/>
  <c r="B1586" i="4"/>
  <c r="B651" i="4"/>
  <c r="B388" i="4"/>
  <c r="B414" i="4"/>
  <c r="B1739" i="4"/>
  <c r="B1244" i="4"/>
  <c r="B1138" i="4"/>
  <c r="B1516" i="4"/>
  <c r="B598" i="4"/>
  <c r="B706" i="4"/>
  <c r="B331" i="4"/>
  <c r="B1048" i="4"/>
  <c r="B1659" i="4"/>
  <c r="B516" i="4"/>
  <c r="B1883" i="4"/>
  <c r="B1317" i="4"/>
  <c r="B1721" i="4"/>
  <c r="B668" i="4"/>
  <c r="B795" i="4"/>
  <c r="N795" i="4"/>
  <c r="O1613" i="4"/>
  <c r="O1606" i="4"/>
  <c r="B885" i="4"/>
  <c r="B1066" i="4"/>
  <c r="B1551" i="4"/>
  <c r="B223" i="4"/>
  <c r="B1623" i="4"/>
  <c r="B115" i="4"/>
  <c r="O885" i="4"/>
  <c r="B939" i="4"/>
  <c r="B1606" i="4"/>
  <c r="B468" i="4"/>
  <c r="B940" i="4"/>
  <c r="B1209" i="4"/>
  <c r="B740" i="4"/>
  <c r="B1605" i="4"/>
  <c r="B1811" i="4"/>
  <c r="B704" i="4"/>
  <c r="B375" i="4"/>
  <c r="B1011" i="4"/>
  <c r="O1610" i="4"/>
  <c r="O800" i="4"/>
  <c r="B578" i="4"/>
  <c r="N793" i="4"/>
  <c r="B1604" i="4"/>
  <c r="N1603" i="4"/>
  <c r="O1604" i="4" s="1"/>
  <c r="B1101" i="4"/>
  <c r="O803" i="4"/>
  <c r="B1030" i="4"/>
  <c r="N1029" i="4"/>
  <c r="H214" i="4"/>
  <c r="BK19" i="2" s="1"/>
  <c r="BI19" i="2"/>
  <c r="O1019" i="4"/>
  <c r="O1011" i="4"/>
  <c r="O839" i="4"/>
  <c r="O1034" i="4"/>
  <c r="O1070" i="4"/>
  <c r="O998" i="4"/>
  <c r="N926" i="4"/>
  <c r="B114" i="4"/>
  <c r="N991" i="4"/>
  <c r="B741" i="4"/>
  <c r="B796" i="4"/>
  <c r="B1722" i="4"/>
  <c r="B1065" i="4"/>
  <c r="O980" i="4"/>
  <c r="N962" i="4"/>
  <c r="B652" i="4"/>
  <c r="B1299" i="4"/>
  <c r="B957" i="4"/>
  <c r="B43" i="4"/>
  <c r="B1046" i="4"/>
  <c r="N1045" i="4"/>
  <c r="B866" i="4"/>
  <c r="N865" i="4"/>
  <c r="B259" i="4"/>
  <c r="B868" i="4"/>
  <c r="N867" i="4"/>
  <c r="B1569" i="4"/>
  <c r="O1065" i="4"/>
  <c r="O983" i="4"/>
  <c r="O965" i="4"/>
  <c r="O1055" i="4"/>
  <c r="O1052" i="4"/>
  <c r="B902" i="4"/>
  <c r="N901" i="4"/>
  <c r="O836" i="4"/>
  <c r="B938" i="4"/>
  <c r="N937" i="4"/>
  <c r="O938" i="4" s="1"/>
  <c r="B1264" i="4"/>
  <c r="B903" i="4"/>
  <c r="N903" i="4"/>
  <c r="O893" i="4"/>
  <c r="B116" i="4"/>
  <c r="N908" i="4"/>
  <c r="N944" i="4"/>
  <c r="B849" i="4"/>
  <c r="B1498" i="4"/>
  <c r="B596" i="4"/>
  <c r="B650" i="4"/>
  <c r="B920" i="4"/>
  <c r="N919" i="4"/>
  <c r="B1028" i="4"/>
  <c r="N1027" i="4"/>
  <c r="B312" i="4"/>
  <c r="O849" i="4"/>
  <c r="B1407" i="4"/>
  <c r="O939" i="4"/>
  <c r="O1073" i="4"/>
  <c r="O1048" i="4"/>
  <c r="B832" i="4"/>
  <c r="N831" i="4"/>
  <c r="O857" i="4"/>
  <c r="B132" i="4"/>
  <c r="O957" i="4"/>
  <c r="N890" i="4"/>
  <c r="O854" i="4"/>
  <c r="B1281" i="4"/>
  <c r="B1622" i="4"/>
  <c r="N883" i="4"/>
  <c r="B956" i="4"/>
  <c r="N955" i="4"/>
  <c r="O956" i="4" s="1"/>
  <c r="B1010" i="4"/>
  <c r="N1009" i="4"/>
  <c r="O1010" i="4" s="1"/>
  <c r="B974" i="4"/>
  <c r="N973" i="4"/>
  <c r="O974" i="4" s="1"/>
  <c r="B1100" i="4"/>
  <c r="B241" i="4"/>
  <c r="O875" i="4"/>
  <c r="O886" i="4"/>
  <c r="O911" i="4"/>
  <c r="O1012" i="4"/>
  <c r="O976" i="4"/>
  <c r="O947" i="4"/>
  <c r="O1016" i="4"/>
  <c r="B1064" i="4"/>
  <c r="N1063" i="4"/>
  <c r="B830" i="4"/>
  <c r="N829" i="4"/>
  <c r="O1001" i="4"/>
  <c r="B1012" i="4"/>
  <c r="B848" i="4"/>
  <c r="N847" i="4"/>
  <c r="B867" i="4"/>
  <c r="N872" i="4"/>
  <c r="B831" i="4"/>
  <c r="B686" i="4"/>
  <c r="B921" i="4"/>
  <c r="N921" i="4"/>
  <c r="B615" i="4"/>
  <c r="B993" i="4"/>
  <c r="N993" i="4"/>
  <c r="B1353" i="4"/>
  <c r="B1533" i="4"/>
  <c r="H216" i="4"/>
  <c r="BU19" i="2" s="1"/>
  <c r="BS19" i="2"/>
  <c r="O850" i="4"/>
  <c r="B1942" i="4"/>
  <c r="B222" i="4"/>
  <c r="B205" i="4"/>
  <c r="B206" i="4"/>
  <c r="B1847" i="4"/>
  <c r="B1425" i="4"/>
  <c r="B1757" i="4"/>
  <c r="B1172" i="4"/>
  <c r="B1568" i="4"/>
  <c r="B1829" i="4"/>
  <c r="B1690" i="4"/>
  <c r="B759" i="4"/>
  <c r="F215" i="4"/>
  <c r="B1702" i="4"/>
  <c r="B343" i="4"/>
  <c r="B1226" i="4"/>
  <c r="B1828" i="4"/>
  <c r="B814" i="4"/>
  <c r="B536" i="4"/>
  <c r="B633" i="4"/>
  <c r="B1406" i="4"/>
  <c r="B387" i="4"/>
  <c r="B1118" i="4"/>
  <c r="B1810" i="4"/>
  <c r="F213" i="4"/>
  <c r="B170" i="4"/>
  <c r="B260" i="4"/>
  <c r="B1318" i="4"/>
  <c r="B1352" i="4"/>
  <c r="B1532" i="4"/>
  <c r="B1846" i="4"/>
  <c r="B1812" i="4"/>
  <c r="B1173" i="4"/>
  <c r="F217" i="4"/>
  <c r="B1676" i="4"/>
  <c r="B758" i="4"/>
  <c r="B614" i="4"/>
  <c r="B1689" i="4"/>
  <c r="B992" i="4"/>
  <c r="G1254" i="4"/>
  <c r="BJ96" i="2" s="1"/>
  <c r="B1119" i="4"/>
  <c r="B1227" i="4"/>
  <c r="B1371" i="4"/>
  <c r="B1677" i="4"/>
  <c r="B1479" i="4"/>
  <c r="B778" i="4"/>
  <c r="B1083" i="4"/>
  <c r="B1920" i="4"/>
  <c r="B332" i="4"/>
  <c r="B1174" i="4"/>
  <c r="B1029" i="4"/>
  <c r="B79" i="4"/>
  <c r="B344" i="4"/>
  <c r="B1587" i="4"/>
  <c r="B61" i="4"/>
  <c r="B1830" i="4"/>
  <c r="B401" i="4"/>
  <c r="B1245" i="4"/>
  <c r="B1852" i="4"/>
  <c r="AZ99" i="2"/>
  <c r="R1666" i="4"/>
  <c r="E21" i="6"/>
  <c r="G287" i="4"/>
  <c r="AZ22" i="3"/>
  <c r="R320" i="4"/>
  <c r="B1816" i="4"/>
  <c r="B1938" i="4"/>
  <c r="B1937" i="4"/>
  <c r="B1834" i="4"/>
  <c r="B1792" i="4"/>
  <c r="B24" i="4"/>
  <c r="B812" i="4"/>
  <c r="B776" i="4"/>
  <c r="D506" i="4"/>
  <c r="AW34" i="3" s="1"/>
  <c r="B794" i="4"/>
  <c r="B186" i="4"/>
  <c r="B42" i="4"/>
  <c r="B240" i="4"/>
  <c r="B413" i="4"/>
  <c r="B1720" i="4"/>
  <c r="B1864" i="4"/>
  <c r="B78" i="4"/>
  <c r="B1298" i="4"/>
  <c r="B60" i="4"/>
  <c r="AZ51" i="2"/>
  <c r="AZ23" i="2"/>
  <c r="AZ28" i="2"/>
  <c r="AZ32" i="3"/>
  <c r="AZ33" i="2"/>
  <c r="AZ37" i="3"/>
  <c r="AZ39" i="2"/>
  <c r="AZ44" i="3"/>
  <c r="D524" i="4"/>
  <c r="AW35" i="3" s="1"/>
  <c r="AO21" i="6"/>
  <c r="G733" i="4"/>
  <c r="BO47" i="2" s="1"/>
  <c r="Y19" i="6"/>
  <c r="G476" i="4"/>
  <c r="BE28" i="2" s="1"/>
  <c r="AK19" i="6"/>
  <c r="G677" i="4"/>
  <c r="BE39" i="2" s="1"/>
  <c r="G1038" i="4"/>
  <c r="BJ68" i="2" s="1"/>
  <c r="BJ20" i="6"/>
  <c r="G1201" i="4"/>
  <c r="BO92" i="2" s="1"/>
  <c r="CH21" i="6"/>
  <c r="G1380" i="4"/>
  <c r="BJ74" i="2" s="1"/>
  <c r="BP20" i="6"/>
  <c r="AU19" i="6"/>
  <c r="G1271" i="4"/>
  <c r="BE53" i="2" s="1"/>
  <c r="BB21" i="6"/>
  <c r="G913" i="4"/>
  <c r="BO60" i="2" s="1"/>
  <c r="R19" i="6"/>
  <c r="G321" i="4"/>
  <c r="G823" i="4"/>
  <c r="BO52" i="2" s="1"/>
  <c r="AT21" i="6"/>
  <c r="G1543" i="4"/>
  <c r="BO84" i="2" s="1"/>
  <c r="BZ21" i="6"/>
  <c r="J20" i="6"/>
  <c r="G106" i="4"/>
  <c r="BJ13" i="2" s="1"/>
  <c r="BG20" i="6"/>
  <c r="G984" i="4"/>
  <c r="BJ65" i="2" s="1"/>
  <c r="BT21" i="6"/>
  <c r="G1435" i="4"/>
  <c r="BO78" i="2" s="1"/>
  <c r="G1649" i="4"/>
  <c r="BE97" i="2" s="1"/>
  <c r="CN19" i="6"/>
  <c r="AW20" i="6"/>
  <c r="G1074" i="4"/>
  <c r="BJ55" i="2" s="1"/>
  <c r="G424" i="4"/>
  <c r="BO25" i="2" s="1"/>
  <c r="V21" i="6"/>
  <c r="AX20" i="6"/>
  <c r="G840" i="4"/>
  <c r="BJ56" i="2" s="1"/>
  <c r="G20" i="6"/>
  <c r="G34" i="4"/>
  <c r="BJ9" i="2" s="1"/>
  <c r="G142" i="4"/>
  <c r="BJ15" i="2" s="1"/>
  <c r="L20" i="6"/>
  <c r="G714" i="4"/>
  <c r="BJ46" i="2" s="1"/>
  <c r="AN20" i="6"/>
  <c r="CS21" i="6"/>
  <c r="G1713" i="4"/>
  <c r="BO100" i="2" s="1"/>
  <c r="AI21" i="6"/>
  <c r="G643" i="4"/>
  <c r="BO37" i="2" s="1"/>
  <c r="N20" i="6"/>
  <c r="G196" i="4"/>
  <c r="BJ18" i="2" s="1"/>
  <c r="G697" i="4"/>
  <c r="BO40" i="2" s="1"/>
  <c r="AL21" i="6"/>
  <c r="M21" i="6"/>
  <c r="G179" i="4"/>
  <c r="BO17" i="2" s="1"/>
  <c r="AR20" i="6"/>
  <c r="G786" i="4"/>
  <c r="BJ50" i="2" s="1"/>
  <c r="CI21" i="6"/>
  <c r="G1219" i="4"/>
  <c r="BO93" i="2" s="1"/>
  <c r="AY21" i="6"/>
  <c r="G859" i="4"/>
  <c r="BO57" i="2" s="1"/>
  <c r="G1307" i="4"/>
  <c r="BE6" i="2" s="1"/>
  <c r="D19" i="6"/>
  <c r="BH21" i="6"/>
  <c r="G1003" i="4"/>
  <c r="BO66" i="2" s="1"/>
  <c r="CT20" i="6"/>
  <c r="G1730" i="4"/>
  <c r="BJ101" i="2" s="1"/>
  <c r="Q20" i="6"/>
  <c r="G268" i="4"/>
  <c r="BJ22" i="2" s="1"/>
  <c r="CC21" i="6"/>
  <c r="G1129" i="4"/>
  <c r="BO87" i="2" s="1"/>
  <c r="BA20" i="6"/>
  <c r="G894" i="4"/>
  <c r="BJ59" i="2" s="1"/>
  <c r="BQ21" i="6"/>
  <c r="G1399" i="4"/>
  <c r="BO75" i="2" s="1"/>
  <c r="CJ21" i="6"/>
  <c r="G1597" i="4"/>
  <c r="BO94" i="2" s="1"/>
  <c r="K21" i="6"/>
  <c r="G125" i="4"/>
  <c r="BO14" i="2" s="1"/>
  <c r="BL21" i="6"/>
  <c r="G1561" i="4"/>
  <c r="BO70" i="2" s="1"/>
  <c r="BF20" i="6"/>
  <c r="G966" i="4"/>
  <c r="BJ64" i="2" s="1"/>
  <c r="F21" i="6"/>
  <c r="G305" i="4"/>
  <c r="BO8" i="2" s="1"/>
  <c r="C21" i="6"/>
  <c r="G367" i="4"/>
  <c r="BO5" i="2" s="1"/>
  <c r="BO21" i="6"/>
  <c r="G1363" i="4"/>
  <c r="BO73" i="2" s="1"/>
  <c r="CA21" i="6"/>
  <c r="G1093" i="4"/>
  <c r="BO85" i="2" s="1"/>
  <c r="G1453" i="4"/>
  <c r="BO79" i="2" s="1"/>
  <c r="BU21" i="6"/>
  <c r="G588" i="4"/>
  <c r="BJ34" i="2" s="1"/>
  <c r="AF20" i="6"/>
  <c r="X20" i="6"/>
  <c r="G459" i="4"/>
  <c r="BJ27" i="2" s="1"/>
  <c r="G1507" i="4"/>
  <c r="BO82" i="2" s="1"/>
  <c r="BX21" i="6"/>
  <c r="BJ31" i="2"/>
  <c r="H526" i="4"/>
  <c r="BK31" i="2" s="1"/>
  <c r="G556" i="4"/>
  <c r="BE33" i="2" s="1"/>
  <c r="AD19" i="6"/>
  <c r="C1323" i="4"/>
  <c r="BW21" i="6"/>
  <c r="G1489" i="4"/>
  <c r="BO81" i="2" s="1"/>
  <c r="G1021" i="4"/>
  <c r="BO67" i="2" s="1"/>
  <c r="BI21" i="6"/>
  <c r="G441" i="4"/>
  <c r="BJ26" i="2" s="1"/>
  <c r="W20" i="6"/>
  <c r="CM21" i="6"/>
  <c r="G1255" i="4"/>
  <c r="BO96" i="2" s="1"/>
  <c r="BY20" i="6"/>
  <c r="G1524" i="4"/>
  <c r="BJ83" i="2" s="1"/>
  <c r="G625" i="4"/>
  <c r="BO36" i="2" s="1"/>
  <c r="AH21" i="6"/>
  <c r="AS19" i="6"/>
  <c r="G803" i="4"/>
  <c r="BE51" i="2" s="1"/>
  <c r="CW21" i="6"/>
  <c r="G1785" i="4"/>
  <c r="BO103" i="2" s="1"/>
  <c r="G876" i="4"/>
  <c r="BJ58" i="2" s="1"/>
  <c r="AZ20" i="6"/>
  <c r="AP20" i="6"/>
  <c r="G750" i="4"/>
  <c r="BJ48" i="2" s="1"/>
  <c r="BN20" i="6"/>
  <c r="G1344" i="4"/>
  <c r="BJ72" i="2" s="1"/>
  <c r="CP19" i="6"/>
  <c r="G1667" i="4"/>
  <c r="AM19" i="6"/>
  <c r="BE42" i="2"/>
  <c r="BK21" i="6"/>
  <c r="G1057" i="4"/>
  <c r="BO69" i="2" s="1"/>
  <c r="CU20" i="6"/>
  <c r="G1748" i="4"/>
  <c r="BJ41" i="2" s="1"/>
  <c r="BS21" i="6"/>
  <c r="G1633" i="4"/>
  <c r="BO77" i="2" s="1"/>
  <c r="G1765" i="4"/>
  <c r="BE102" i="2" s="1"/>
  <c r="CV19" i="6"/>
  <c r="G1614" i="4"/>
  <c r="BJ62" i="2" s="1"/>
  <c r="BD20" i="6"/>
  <c r="I20" i="6"/>
  <c r="G88" i="4"/>
  <c r="BJ12" i="2" s="1"/>
  <c r="G1875" i="4"/>
  <c r="BO98" i="2" s="1"/>
  <c r="CO21" i="6"/>
  <c r="G1183" i="4"/>
  <c r="BO91" i="2" s="1"/>
  <c r="CG21" i="6"/>
  <c r="G1417" i="4"/>
  <c r="BO76" i="2" s="1"/>
  <c r="BR21" i="6"/>
  <c r="G251" i="4"/>
  <c r="BO21" i="2" s="1"/>
  <c r="P21" i="6"/>
  <c r="CB21" i="6"/>
  <c r="G1111" i="4"/>
  <c r="BO86" i="2" s="1"/>
  <c r="BC20" i="6"/>
  <c r="G930" i="4"/>
  <c r="BJ61" i="2" s="1"/>
  <c r="CD21" i="6"/>
  <c r="G1147" i="4"/>
  <c r="BO88" i="2" s="1"/>
  <c r="H21" i="6"/>
  <c r="G53" i="4"/>
  <c r="BO10" i="2" s="1"/>
  <c r="BV21" i="6"/>
  <c r="G1471" i="4"/>
  <c r="BO80" i="2" s="1"/>
  <c r="AQ21" i="6"/>
  <c r="G769" i="4"/>
  <c r="BO49" i="2" s="1"/>
  <c r="B19" i="6"/>
  <c r="G15" i="4"/>
  <c r="BE4" i="2" s="1"/>
  <c r="AV20" i="6"/>
  <c r="G1290" i="4"/>
  <c r="BJ54" i="2" s="1"/>
  <c r="G606" i="4"/>
  <c r="BJ35" i="2" s="1"/>
  <c r="AG20" i="6"/>
  <c r="CF21" i="6"/>
  <c r="G1165" i="4"/>
  <c r="BO90" i="2" s="1"/>
  <c r="G1326" i="4"/>
  <c r="BJ71" i="2" s="1"/>
  <c r="BM20" i="6"/>
  <c r="CE20" i="6"/>
  <c r="G1578" i="4"/>
  <c r="BJ89" i="2" s="1"/>
  <c r="G232" i="4"/>
  <c r="BJ20" i="2" s="1"/>
  <c r="O20" i="6"/>
  <c r="G948" i="4"/>
  <c r="BJ63" i="2" s="1"/>
  <c r="BE20" i="6"/>
  <c r="G527" i="4"/>
  <c r="AB21" i="6"/>
  <c r="B1924" i="4"/>
  <c r="B1906" i="4"/>
  <c r="B1888" i="4"/>
  <c r="B156" i="4"/>
  <c r="B66" i="4"/>
  <c r="C1127" i="4"/>
  <c r="C1128" i="4" s="1"/>
  <c r="C1129" i="4" s="1"/>
  <c r="C1130" i="4" s="1"/>
  <c r="C1131" i="4" s="1"/>
  <c r="B884" i="4"/>
  <c r="B553" i="4"/>
  <c r="AL130" i="2"/>
  <c r="B1322" i="4"/>
  <c r="B48" i="4"/>
  <c r="B1726" i="4"/>
  <c r="B1520" i="4"/>
  <c r="B437" i="4"/>
  <c r="B1484" i="4"/>
  <c r="B1070" i="4"/>
  <c r="B836" i="4"/>
  <c r="B336" i="4"/>
  <c r="B764" i="4"/>
  <c r="B1430" i="4"/>
  <c r="B944" i="4"/>
  <c r="B584" i="4"/>
  <c r="B1106" i="4"/>
  <c r="B890" i="4"/>
  <c r="B84" i="4"/>
  <c r="B854" i="4"/>
  <c r="B349" i="4"/>
  <c r="B300" i="4"/>
  <c r="B1708" i="4"/>
  <c r="B102" i="4"/>
  <c r="B1358" i="4"/>
  <c r="B1160" i="4"/>
  <c r="B1646" i="4"/>
  <c r="B1762" i="4"/>
  <c r="B1196" i="4"/>
  <c r="B782" i="4"/>
  <c r="B1286" i="4"/>
  <c r="H4" i="5"/>
  <c r="B746" i="4"/>
  <c r="B908" i="4"/>
  <c r="B1376" i="4"/>
  <c r="B540" i="4"/>
  <c r="B1448" i="4"/>
  <c r="B1178" i="4"/>
  <c r="B1798" i="4"/>
  <c r="B380" i="4"/>
  <c r="C1142" i="4"/>
  <c r="C1143" i="4" s="1"/>
  <c r="C1144" i="4" s="1"/>
  <c r="C1145" i="4" s="1"/>
  <c r="C1146" i="4" s="1"/>
  <c r="C1147" i="4" s="1"/>
  <c r="C1148" i="4" s="1"/>
  <c r="C1149" i="4" s="1"/>
  <c r="AL126" i="2"/>
  <c r="B1682" i="4"/>
  <c r="B264" i="4"/>
  <c r="B1744" i="4"/>
  <c r="B1412" i="4"/>
  <c r="B571" i="4"/>
  <c r="B710" i="4"/>
  <c r="B246" i="4"/>
  <c r="B998" i="4"/>
  <c r="B1394" i="4"/>
  <c r="B1250" i="4"/>
  <c r="B30" i="4"/>
  <c r="B1664" i="4"/>
  <c r="AB129" i="2"/>
  <c r="AB131" i="2" s="1"/>
  <c r="B872" i="4"/>
  <c r="B1232" i="4"/>
  <c r="B393" i="4"/>
  <c r="B728" i="4"/>
  <c r="B1268" i="4"/>
  <c r="B1502" i="4"/>
  <c r="B926" i="4"/>
  <c r="B1034" i="4"/>
  <c r="B1780" i="4"/>
  <c r="B473" i="4"/>
  <c r="B1574" i="4"/>
  <c r="B1124" i="4"/>
  <c r="B1695" i="4"/>
  <c r="B620" i="4"/>
  <c r="B138" i="4"/>
  <c r="B406" i="4"/>
  <c r="B455" i="4"/>
  <c r="B1142" i="4"/>
  <c r="B674" i="4"/>
  <c r="AQ130" i="2"/>
  <c r="B491" i="4"/>
  <c r="B228" i="4"/>
  <c r="B656" i="4"/>
  <c r="B1610" i="4"/>
  <c r="B1088" i="4"/>
  <c r="B362" i="4"/>
  <c r="AW24" i="2"/>
  <c r="B980" i="4"/>
  <c r="B318" i="4"/>
  <c r="B419" i="4"/>
  <c r="B962" i="4"/>
  <c r="B1538" i="4"/>
  <c r="B522" i="4"/>
  <c r="B192" i="4"/>
  <c r="B1340" i="4"/>
  <c r="B504" i="4"/>
  <c r="B174" i="4"/>
  <c r="B1628" i="4"/>
  <c r="B800" i="4"/>
  <c r="B1214" i="4"/>
  <c r="B1016" i="4"/>
  <c r="C1197" i="4"/>
  <c r="B818" i="4"/>
  <c r="B120" i="4"/>
  <c r="B692" i="4"/>
  <c r="B1304" i="4"/>
  <c r="B1870" i="4"/>
  <c r="B638" i="4"/>
  <c r="B1592" i="4"/>
  <c r="B282" i="4"/>
  <c r="B1556" i="4"/>
  <c r="B1052" i="4"/>
  <c r="B602" i="4"/>
  <c r="B1466" i="4"/>
  <c r="O1046" i="4" l="1"/>
  <c r="O992" i="4"/>
  <c r="O962" i="4"/>
  <c r="C138" i="4"/>
  <c r="O908" i="4"/>
  <c r="O890" i="4"/>
  <c r="O920" i="4"/>
  <c r="O902" i="4"/>
  <c r="O872" i="4"/>
  <c r="O944" i="4"/>
  <c r="O794" i="4"/>
  <c r="O866" i="4"/>
  <c r="O926" i="4"/>
  <c r="O884" i="4"/>
  <c r="O795" i="4"/>
  <c r="O796" i="4"/>
  <c r="O993" i="4"/>
  <c r="O994" i="4"/>
  <c r="O1028" i="4"/>
  <c r="H217" i="4"/>
  <c r="BZ19" i="2" s="1"/>
  <c r="BX19" i="2"/>
  <c r="O867" i="4"/>
  <c r="O868" i="4"/>
  <c r="O921" i="4"/>
  <c r="O922" i="4"/>
  <c r="O848" i="4"/>
  <c r="O830" i="4"/>
  <c r="H213" i="4"/>
  <c r="BF19" i="2" s="1"/>
  <c r="BD19" i="2"/>
  <c r="O1029" i="4"/>
  <c r="O1030" i="4"/>
  <c r="H215" i="4"/>
  <c r="BP19" i="2" s="1"/>
  <c r="BN19" i="2"/>
  <c r="O1064" i="4"/>
  <c r="O831" i="4"/>
  <c r="O832" i="4"/>
  <c r="O903" i="4"/>
  <c r="O904" i="4"/>
  <c r="BE99" i="2"/>
  <c r="R1667" i="4"/>
  <c r="BE23" i="2"/>
  <c r="R321" i="4"/>
  <c r="E22" i="6"/>
  <c r="G289" i="4" s="1"/>
  <c r="G288" i="4"/>
  <c r="AW30" i="2"/>
  <c r="AW31" i="2"/>
  <c r="F524" i="4"/>
  <c r="AY35" i="3" s="1"/>
  <c r="CB22" i="6"/>
  <c r="G1113" i="4" s="1"/>
  <c r="BY86" i="2" s="1"/>
  <c r="G1112" i="4"/>
  <c r="BT86" i="2" s="1"/>
  <c r="BK22" i="6"/>
  <c r="G1059" i="4" s="1"/>
  <c r="BY69" i="2" s="1"/>
  <c r="G1058" i="4"/>
  <c r="BT69" i="2" s="1"/>
  <c r="G1786" i="4"/>
  <c r="CW22" i="6"/>
  <c r="G1787" i="4" s="1"/>
  <c r="AH22" i="6"/>
  <c r="G627" i="4" s="1"/>
  <c r="BY36" i="2" s="1"/>
  <c r="G626" i="4"/>
  <c r="BT36" i="2" s="1"/>
  <c r="G1490" i="4"/>
  <c r="BT81" i="2" s="1"/>
  <c r="BW22" i="6"/>
  <c r="G1491" i="4" s="1"/>
  <c r="BY81" i="2" s="1"/>
  <c r="AD20" i="6"/>
  <c r="G557" i="4"/>
  <c r="BJ33" i="2" s="1"/>
  <c r="X21" i="6"/>
  <c r="G460" i="4"/>
  <c r="BO27" i="2" s="1"/>
  <c r="BO22" i="6"/>
  <c r="G1365" i="4" s="1"/>
  <c r="BY73" i="2" s="1"/>
  <c r="G1364" i="4"/>
  <c r="BT73" i="2" s="1"/>
  <c r="G1562" i="4"/>
  <c r="BT70" i="2" s="1"/>
  <c r="BL22" i="6"/>
  <c r="G1563" i="4" s="1"/>
  <c r="BY70" i="2" s="1"/>
  <c r="G895" i="4"/>
  <c r="BO59" i="2" s="1"/>
  <c r="BA21" i="6"/>
  <c r="N21" i="6"/>
  <c r="G197" i="4"/>
  <c r="BO18" i="2" s="1"/>
  <c r="G715" i="4"/>
  <c r="AN21" i="6"/>
  <c r="G1202" i="4"/>
  <c r="BT92" i="2" s="1"/>
  <c r="CH22" i="6"/>
  <c r="G1203" i="4" s="1"/>
  <c r="BY92" i="2" s="1"/>
  <c r="BN21" i="6"/>
  <c r="G1345" i="4"/>
  <c r="BO72" i="2" s="1"/>
  <c r="C1324" i="4"/>
  <c r="C1325" i="4" s="1"/>
  <c r="C1326" i="4" s="1"/>
  <c r="C1327" i="4" s="1"/>
  <c r="C1328" i="4" s="1"/>
  <c r="C1329" i="4" s="1"/>
  <c r="CA22" i="6"/>
  <c r="G1095" i="4" s="1"/>
  <c r="BY85" i="2" s="1"/>
  <c r="G1094" i="4"/>
  <c r="BT85" i="2" s="1"/>
  <c r="BF21" i="6"/>
  <c r="G967" i="4"/>
  <c r="BO64" i="2" s="1"/>
  <c r="G1381" i="4"/>
  <c r="BO74" i="2" s="1"/>
  <c r="BP21" i="6"/>
  <c r="G1166" i="4"/>
  <c r="BT90" i="2" s="1"/>
  <c r="CF22" i="6"/>
  <c r="G1167" i="4" s="1"/>
  <c r="BY90" i="2" s="1"/>
  <c r="CV20" i="6"/>
  <c r="G1766" i="4"/>
  <c r="BJ102" i="2" s="1"/>
  <c r="G1731" i="4"/>
  <c r="CT21" i="6"/>
  <c r="G1714" i="4"/>
  <c r="BT100" i="2" s="1"/>
  <c r="CS22" i="6"/>
  <c r="G1715" i="4" s="1"/>
  <c r="BY100" i="2" s="1"/>
  <c r="Y20" i="6"/>
  <c r="G477" i="4"/>
  <c r="BJ28" i="2" s="1"/>
  <c r="AV21" i="6"/>
  <c r="G1291" i="4"/>
  <c r="BO54" i="2" s="1"/>
  <c r="AQ22" i="6"/>
  <c r="G771" i="4" s="1"/>
  <c r="BY49" i="2" s="1"/>
  <c r="G770" i="4"/>
  <c r="BT49" i="2" s="1"/>
  <c r="CO22" i="6"/>
  <c r="G1877" i="4" s="1"/>
  <c r="BY98" i="2" s="1"/>
  <c r="G1876" i="4"/>
  <c r="BT98" i="2" s="1"/>
  <c r="G949" i="4"/>
  <c r="BO63" i="2" s="1"/>
  <c r="BE21" i="6"/>
  <c r="O21" i="6"/>
  <c r="G233" i="4"/>
  <c r="BO20" i="2" s="1"/>
  <c r="CE21" i="6"/>
  <c r="G1579" i="4"/>
  <c r="BO89" i="2" s="1"/>
  <c r="G1472" i="4"/>
  <c r="BT80" i="2" s="1"/>
  <c r="BV22" i="6"/>
  <c r="G1473" i="4" s="1"/>
  <c r="BY80" i="2" s="1"/>
  <c r="BS22" i="6"/>
  <c r="G1635" i="4" s="1"/>
  <c r="BY77" i="2" s="1"/>
  <c r="G1634" i="4"/>
  <c r="BT77" i="2" s="1"/>
  <c r="BY21" i="6"/>
  <c r="G1525" i="4"/>
  <c r="BO83" i="2" s="1"/>
  <c r="G1454" i="4"/>
  <c r="BT79" i="2" s="1"/>
  <c r="BU22" i="6"/>
  <c r="G1455" i="4" s="1"/>
  <c r="BY79" i="2" s="1"/>
  <c r="AY22" i="6"/>
  <c r="G861" i="4" s="1"/>
  <c r="BY57" i="2" s="1"/>
  <c r="G860" i="4"/>
  <c r="BT57" i="2" s="1"/>
  <c r="G425" i="4"/>
  <c r="BT25" i="2" s="1"/>
  <c r="V22" i="6"/>
  <c r="G426" i="4" s="1"/>
  <c r="BY25" i="2" s="1"/>
  <c r="AU20" i="6"/>
  <c r="G1272" i="4"/>
  <c r="BJ53" i="2" s="1"/>
  <c r="BC21" i="6"/>
  <c r="G931" i="4"/>
  <c r="BO61" i="2" s="1"/>
  <c r="G1400" i="4"/>
  <c r="BT75" i="2" s="1"/>
  <c r="BQ22" i="6"/>
  <c r="G1401" i="4" s="1"/>
  <c r="BY75" i="2" s="1"/>
  <c r="G1075" i="4"/>
  <c r="BO55" i="2" s="1"/>
  <c r="AW21" i="6"/>
  <c r="J21" i="6"/>
  <c r="G107" i="4"/>
  <c r="BO13" i="2" s="1"/>
  <c r="D20" i="6"/>
  <c r="G1308" i="4"/>
  <c r="BJ6" i="2" s="1"/>
  <c r="G1650" i="4"/>
  <c r="BJ97" i="2" s="1"/>
  <c r="CN20" i="6"/>
  <c r="BZ22" i="6"/>
  <c r="G1545" i="4" s="1"/>
  <c r="BY84" i="2" s="1"/>
  <c r="G1544" i="4"/>
  <c r="BT84" i="2" s="1"/>
  <c r="G589" i="4"/>
  <c r="BO34" i="2" s="1"/>
  <c r="AF21" i="6"/>
  <c r="G824" i="4"/>
  <c r="BT52" i="2" s="1"/>
  <c r="AT22" i="6"/>
  <c r="G825" i="4" s="1"/>
  <c r="BY52" i="2" s="1"/>
  <c r="G914" i="4"/>
  <c r="BT60" i="2" s="1"/>
  <c r="BB22" i="6"/>
  <c r="G915" i="4" s="1"/>
  <c r="BY60" i="2" s="1"/>
  <c r="P22" i="6"/>
  <c r="G253" i="4" s="1"/>
  <c r="BY21" i="2" s="1"/>
  <c r="G252" i="4"/>
  <c r="BT21" i="2" s="1"/>
  <c r="CM22" i="6"/>
  <c r="G1257" i="4" s="1"/>
  <c r="BY96" i="2" s="1"/>
  <c r="G1256" i="4"/>
  <c r="BT96" i="2" s="1"/>
  <c r="C22" i="6"/>
  <c r="G369" i="4" s="1"/>
  <c r="BY5" i="2" s="1"/>
  <c r="G368" i="4"/>
  <c r="BT5" i="2" s="1"/>
  <c r="K22" i="6"/>
  <c r="G127" i="4" s="1"/>
  <c r="BY14" i="2" s="1"/>
  <c r="G126" i="4"/>
  <c r="BT14" i="2" s="1"/>
  <c r="BJ21" i="6"/>
  <c r="G1039" i="4"/>
  <c r="BO68" i="2" s="1"/>
  <c r="G1327" i="4"/>
  <c r="BO71" i="2" s="1"/>
  <c r="BM21" i="6"/>
  <c r="G16" i="4"/>
  <c r="BJ4" i="2" s="1"/>
  <c r="B20" i="6"/>
  <c r="G89" i="4"/>
  <c r="BO12" i="2" s="1"/>
  <c r="I21" i="6"/>
  <c r="CP20" i="6"/>
  <c r="G1668" i="4"/>
  <c r="R1668" i="4" s="1"/>
  <c r="AP21" i="6"/>
  <c r="G751" i="4"/>
  <c r="BO48" i="2" s="1"/>
  <c r="AS20" i="6"/>
  <c r="G804" i="4"/>
  <c r="BJ51" i="2" s="1"/>
  <c r="G306" i="4"/>
  <c r="BT8" i="2" s="1"/>
  <c r="F22" i="6"/>
  <c r="G307" i="4" s="1"/>
  <c r="BY8" i="2" s="1"/>
  <c r="G1598" i="4"/>
  <c r="BT94" i="2" s="1"/>
  <c r="CJ22" i="6"/>
  <c r="G1599" i="4" s="1"/>
  <c r="BY94" i="2" s="1"/>
  <c r="G269" i="4"/>
  <c r="BO22" i="2" s="1"/>
  <c r="Q21" i="6"/>
  <c r="M22" i="6"/>
  <c r="G181" i="4" s="1"/>
  <c r="BY17" i="2" s="1"/>
  <c r="G180" i="4"/>
  <c r="BT17" i="2" s="1"/>
  <c r="L21" i="6"/>
  <c r="G143" i="4"/>
  <c r="BO15" i="2" s="1"/>
  <c r="G21" i="6"/>
  <c r="G35" i="4"/>
  <c r="BO9" i="2" s="1"/>
  <c r="G985" i="4"/>
  <c r="BO65" i="2" s="1"/>
  <c r="BG21" i="6"/>
  <c r="AO22" i="6"/>
  <c r="G735" i="4" s="1"/>
  <c r="BY47" i="2" s="1"/>
  <c r="G734" i="4"/>
  <c r="BT47" i="2" s="1"/>
  <c r="AG21" i="6"/>
  <c r="G607" i="4"/>
  <c r="BO35" i="2" s="1"/>
  <c r="AX21" i="6"/>
  <c r="G841" i="4"/>
  <c r="BO56" i="2" s="1"/>
  <c r="CD22" i="6"/>
  <c r="G1149" i="4" s="1"/>
  <c r="BY88" i="2" s="1"/>
  <c r="G1148" i="4"/>
  <c r="BT88" i="2" s="1"/>
  <c r="G1184" i="4"/>
  <c r="BT91" i="2" s="1"/>
  <c r="CG22" i="6"/>
  <c r="G1185" i="4" s="1"/>
  <c r="BY91" i="2" s="1"/>
  <c r="CC22" i="6"/>
  <c r="G1131" i="4" s="1"/>
  <c r="BY87" i="2" s="1"/>
  <c r="G1130" i="4"/>
  <c r="BT87" i="2" s="1"/>
  <c r="AR21" i="6"/>
  <c r="G787" i="4"/>
  <c r="BO50" i="2" s="1"/>
  <c r="R20" i="6"/>
  <c r="G322" i="4"/>
  <c r="AB22" i="6"/>
  <c r="G529" i="4" s="1"/>
  <c r="G528" i="4"/>
  <c r="BH22" i="6"/>
  <c r="G1005" i="4" s="1"/>
  <c r="BY66" i="2" s="1"/>
  <c r="G1004" i="4"/>
  <c r="BT66" i="2" s="1"/>
  <c r="BO31" i="2"/>
  <c r="H527" i="4"/>
  <c r="BP31" i="2" s="1"/>
  <c r="AM20" i="6"/>
  <c r="BJ42" i="2"/>
  <c r="BT22" i="6"/>
  <c r="G1437" i="4" s="1"/>
  <c r="BY78" i="2" s="1"/>
  <c r="G1436" i="4"/>
  <c r="BT78" i="2" s="1"/>
  <c r="H22" i="6"/>
  <c r="G55" i="4" s="1"/>
  <c r="BY10" i="2" s="1"/>
  <c r="G54" i="4"/>
  <c r="BT10" i="2" s="1"/>
  <c r="BR22" i="6"/>
  <c r="G1419" i="4" s="1"/>
  <c r="BY76" i="2" s="1"/>
  <c r="G1418" i="4"/>
  <c r="BT76" i="2" s="1"/>
  <c r="G1615" i="4"/>
  <c r="BO62" i="2" s="1"/>
  <c r="BD21" i="6"/>
  <c r="G1749" i="4"/>
  <c r="CU21" i="6"/>
  <c r="G877" i="4"/>
  <c r="BO58" i="2" s="1"/>
  <c r="AZ21" i="6"/>
  <c r="W21" i="6"/>
  <c r="G442" i="4"/>
  <c r="BO26" i="2" s="1"/>
  <c r="BI22" i="6"/>
  <c r="G1023" i="4" s="1"/>
  <c r="BY67" i="2" s="1"/>
  <c r="G1022" i="4"/>
  <c r="BT67" i="2" s="1"/>
  <c r="G1508" i="4"/>
  <c r="BT82" i="2" s="1"/>
  <c r="BX22" i="6"/>
  <c r="G1509" i="4" s="1"/>
  <c r="BY82" i="2" s="1"/>
  <c r="G1220" i="4"/>
  <c r="BT93" i="2" s="1"/>
  <c r="CI22" i="6"/>
  <c r="G1221" i="4" s="1"/>
  <c r="BY93" i="2" s="1"/>
  <c r="AL22" i="6"/>
  <c r="G699" i="4" s="1"/>
  <c r="BY40" i="2" s="1"/>
  <c r="G698" i="4"/>
  <c r="BT40" i="2" s="1"/>
  <c r="G644" i="4"/>
  <c r="BT37" i="2" s="1"/>
  <c r="AI22" i="6"/>
  <c r="G645" i="4" s="1"/>
  <c r="BY37" i="2" s="1"/>
  <c r="G678" i="4"/>
  <c r="BJ39" i="2" s="1"/>
  <c r="AK20" i="6"/>
  <c r="AV130" i="2"/>
  <c r="I4" i="5"/>
  <c r="C1198" i="4"/>
  <c r="C1199" i="4" s="1"/>
  <c r="AQ126" i="2"/>
  <c r="C1200" i="4" l="1"/>
  <c r="E1199" i="4"/>
  <c r="E1198" i="4"/>
  <c r="C139" i="4"/>
  <c r="AY31" i="2"/>
  <c r="BJ23" i="2"/>
  <c r="R322" i="4"/>
  <c r="H524" i="4"/>
  <c r="BA35" i="3" s="1"/>
  <c r="G878" i="4"/>
  <c r="BT58" i="2" s="1"/>
  <c r="AZ22" i="6"/>
  <c r="G879" i="4" s="1"/>
  <c r="BY58" i="2" s="1"/>
  <c r="CT22" i="6"/>
  <c r="G1733" i="4" s="1"/>
  <c r="G1732" i="4"/>
  <c r="BN22" i="6"/>
  <c r="G1347" i="4" s="1"/>
  <c r="BY72" i="2" s="1"/>
  <c r="G1346" i="4"/>
  <c r="BT72" i="2" s="1"/>
  <c r="AD21" i="6"/>
  <c r="G558" i="4"/>
  <c r="BO33" i="2" s="1"/>
  <c r="H528" i="4"/>
  <c r="BU31" i="2" s="1"/>
  <c r="BT31" i="2"/>
  <c r="AX22" i="6"/>
  <c r="G843" i="4" s="1"/>
  <c r="BY56" i="2" s="1"/>
  <c r="G842" i="4"/>
  <c r="BT56" i="2" s="1"/>
  <c r="G36" i="4"/>
  <c r="BT9" i="2" s="1"/>
  <c r="G22" i="6"/>
  <c r="G37" i="4" s="1"/>
  <c r="BY9" i="2" s="1"/>
  <c r="G752" i="4"/>
  <c r="BT48" i="2" s="1"/>
  <c r="AP22" i="6"/>
  <c r="G753" i="4" s="1"/>
  <c r="BY48" i="2" s="1"/>
  <c r="G17" i="4"/>
  <c r="BO4" i="2" s="1"/>
  <c r="B21" i="6"/>
  <c r="G1651" i="4"/>
  <c r="BO97" i="2" s="1"/>
  <c r="CN21" i="6"/>
  <c r="BY22" i="6"/>
  <c r="G1527" i="4" s="1"/>
  <c r="BY83" i="2" s="1"/>
  <c r="G1526" i="4"/>
  <c r="BT83" i="2" s="1"/>
  <c r="G234" i="4"/>
  <c r="BT20" i="2" s="1"/>
  <c r="O22" i="6"/>
  <c r="G235" i="4" s="1"/>
  <c r="BY20" i="2" s="1"/>
  <c r="BO101" i="2"/>
  <c r="G968" i="4"/>
  <c r="BT64" i="2" s="1"/>
  <c r="BF22" i="6"/>
  <c r="G969" i="4" s="1"/>
  <c r="BY64" i="2" s="1"/>
  <c r="BD22" i="6"/>
  <c r="G1617" i="4" s="1"/>
  <c r="BY62" i="2" s="1"/>
  <c r="G1616" i="4"/>
  <c r="BT62" i="2" s="1"/>
  <c r="AM21" i="6"/>
  <c r="BO42" i="2"/>
  <c r="R21" i="6"/>
  <c r="G323" i="4"/>
  <c r="D21" i="6"/>
  <c r="G1309" i="4"/>
  <c r="BO6" i="2" s="1"/>
  <c r="BC22" i="6"/>
  <c r="G933" i="4" s="1"/>
  <c r="BY61" i="2" s="1"/>
  <c r="G932" i="4"/>
  <c r="BT61" i="2" s="1"/>
  <c r="BO46" i="2"/>
  <c r="H529" i="4"/>
  <c r="BZ31" i="2" s="1"/>
  <c r="BY31" i="2"/>
  <c r="G608" i="4"/>
  <c r="BT35" i="2" s="1"/>
  <c r="AG22" i="6"/>
  <c r="G609" i="4" s="1"/>
  <c r="BY35" i="2" s="1"/>
  <c r="BF120" i="2"/>
  <c r="C2" i="1" s="1"/>
  <c r="BJ99" i="2"/>
  <c r="G590" i="4"/>
  <c r="BT34" i="2" s="1"/>
  <c r="AF22" i="6"/>
  <c r="G591" i="4" s="1"/>
  <c r="BY34" i="2" s="1"/>
  <c r="Y21" i="6"/>
  <c r="G478" i="4"/>
  <c r="BO28" i="2" s="1"/>
  <c r="BY103" i="2"/>
  <c r="G1750" i="4"/>
  <c r="CU22" i="6"/>
  <c r="G1751" i="4" s="1"/>
  <c r="BM22" i="6"/>
  <c r="G1329" i="4" s="1"/>
  <c r="BY71" i="2" s="1"/>
  <c r="G1328" i="4"/>
  <c r="BT71" i="2" s="1"/>
  <c r="G788" i="4"/>
  <c r="BT50" i="2" s="1"/>
  <c r="AR22" i="6"/>
  <c r="G789" i="4" s="1"/>
  <c r="BY50" i="2" s="1"/>
  <c r="BG22" i="6"/>
  <c r="G987" i="4" s="1"/>
  <c r="BY65" i="2" s="1"/>
  <c r="G986" i="4"/>
  <c r="BT65" i="2" s="1"/>
  <c r="G270" i="4"/>
  <c r="BT22" i="2" s="1"/>
  <c r="Q22" i="6"/>
  <c r="G271" i="4" s="1"/>
  <c r="BY22" i="2" s="1"/>
  <c r="CP21" i="6"/>
  <c r="G1669" i="4"/>
  <c r="R1669" i="4" s="1"/>
  <c r="G108" i="4"/>
  <c r="BT13" i="2" s="1"/>
  <c r="J22" i="6"/>
  <c r="G109" i="4" s="1"/>
  <c r="BY13" i="2" s="1"/>
  <c r="AU21" i="6"/>
  <c r="G1273" i="4"/>
  <c r="BO53" i="2" s="1"/>
  <c r="BP22" i="6"/>
  <c r="G1383" i="4" s="1"/>
  <c r="BY74" i="2" s="1"/>
  <c r="G1382" i="4"/>
  <c r="BT74" i="2" s="1"/>
  <c r="G198" i="4"/>
  <c r="BT18" i="2" s="1"/>
  <c r="N22" i="6"/>
  <c r="G199" i="4" s="1"/>
  <c r="BY18" i="2" s="1"/>
  <c r="X22" i="6"/>
  <c r="G462" i="4" s="1"/>
  <c r="BY27" i="2" s="1"/>
  <c r="G461" i="4"/>
  <c r="BT27" i="2" s="1"/>
  <c r="BT103" i="2"/>
  <c r="BE22" i="6"/>
  <c r="G951" i="4" s="1"/>
  <c r="BY63" i="2" s="1"/>
  <c r="G950" i="4"/>
  <c r="BT63" i="2" s="1"/>
  <c r="AV22" i="6"/>
  <c r="G1293" i="4" s="1"/>
  <c r="BY54" i="2" s="1"/>
  <c r="G1292" i="4"/>
  <c r="BT54" i="2" s="1"/>
  <c r="BF122" i="2"/>
  <c r="F2" i="1" s="1"/>
  <c r="BO41" i="2"/>
  <c r="L22" i="6"/>
  <c r="G145" i="4" s="1"/>
  <c r="BY15" i="2" s="1"/>
  <c r="G144" i="4"/>
  <c r="BT15" i="2" s="1"/>
  <c r="G1767" i="4"/>
  <c r="CV21" i="6"/>
  <c r="AN22" i="6"/>
  <c r="G717" i="4" s="1"/>
  <c r="G716" i="4"/>
  <c r="G679" i="4"/>
  <c r="BO39" i="2" s="1"/>
  <c r="AK21" i="6"/>
  <c r="W22" i="6"/>
  <c r="G444" i="4" s="1"/>
  <c r="BY26" i="2" s="1"/>
  <c r="G443" i="4"/>
  <c r="BT26" i="2" s="1"/>
  <c r="AS21" i="6"/>
  <c r="G805" i="4"/>
  <c r="BO51" i="2" s="1"/>
  <c r="G90" i="4"/>
  <c r="BT12" i="2" s="1"/>
  <c r="I22" i="6"/>
  <c r="G91" i="4" s="1"/>
  <c r="BY12" i="2" s="1"/>
  <c r="G1040" i="4"/>
  <c r="BT68" i="2" s="1"/>
  <c r="BJ22" i="6"/>
  <c r="G1041" i="4" s="1"/>
  <c r="BY68" i="2" s="1"/>
  <c r="G1076" i="4"/>
  <c r="BT55" i="2" s="1"/>
  <c r="AW22" i="6"/>
  <c r="G1077" i="4" s="1"/>
  <c r="BY55" i="2" s="1"/>
  <c r="CE22" i="6"/>
  <c r="G1581" i="4" s="1"/>
  <c r="BY89" i="2" s="1"/>
  <c r="G1580" i="4"/>
  <c r="BT89" i="2" s="1"/>
  <c r="BA22" i="6"/>
  <c r="G897" i="4" s="1"/>
  <c r="BY59" i="2" s="1"/>
  <c r="G896" i="4"/>
  <c r="BT59" i="2" s="1"/>
  <c r="AV126" i="2"/>
  <c r="J4" i="5"/>
  <c r="BA122" i="2"/>
  <c r="BA130" i="2" s="1"/>
  <c r="BA120" i="2"/>
  <c r="AL129" i="2"/>
  <c r="AL131" i="2" s="1"/>
  <c r="C1201" i="4" l="1"/>
  <c r="E1200" i="4"/>
  <c r="BA31" i="2"/>
  <c r="CB31" i="2" s="1"/>
  <c r="CD31" i="2" s="1"/>
  <c r="C140" i="4"/>
  <c r="E140" i="4" s="1"/>
  <c r="BO23" i="2"/>
  <c r="R323" i="4"/>
  <c r="BT42" i="2"/>
  <c r="AM22" i="6"/>
  <c r="BY42" i="2" s="1"/>
  <c r="G1768" i="4"/>
  <c r="CV22" i="6"/>
  <c r="G1769" i="4" s="1"/>
  <c r="AK22" i="6"/>
  <c r="G681" i="4" s="1"/>
  <c r="BY39" i="2" s="1"/>
  <c r="G680" i="4"/>
  <c r="BT39" i="2" s="1"/>
  <c r="Y22" i="6"/>
  <c r="G480" i="4" s="1"/>
  <c r="BY28" i="2" s="1"/>
  <c r="G479" i="4"/>
  <c r="BT28" i="2" s="1"/>
  <c r="BK120" i="2"/>
  <c r="B22" i="6"/>
  <c r="G19" i="4" s="1"/>
  <c r="BY4" i="2" s="1"/>
  <c r="G18" i="4"/>
  <c r="BT4" i="2" s="1"/>
  <c r="BT46" i="2"/>
  <c r="G1274" i="4"/>
  <c r="BT53" i="2" s="1"/>
  <c r="AU22" i="6"/>
  <c r="G1275" i="4" s="1"/>
  <c r="BY53" i="2" s="1"/>
  <c r="BT41" i="2"/>
  <c r="BY101" i="2"/>
  <c r="BK122" i="2"/>
  <c r="CP22" i="6"/>
  <c r="G1671" i="4" s="1"/>
  <c r="R1671" i="4" s="1"/>
  <c r="G1670" i="4"/>
  <c r="R1670" i="4" s="1"/>
  <c r="G324" i="4"/>
  <c r="R22" i="6"/>
  <c r="G325" i="4" s="1"/>
  <c r="AD22" i="6"/>
  <c r="G560" i="4" s="1"/>
  <c r="BY33" i="2" s="1"/>
  <c r="G559" i="4"/>
  <c r="BT33" i="2" s="1"/>
  <c r="AS22" i="6"/>
  <c r="G807" i="4" s="1"/>
  <c r="BY51" i="2" s="1"/>
  <c r="G806" i="4"/>
  <c r="BT51" i="2" s="1"/>
  <c r="BY41" i="2"/>
  <c r="BT101" i="2"/>
  <c r="BY46" i="2"/>
  <c r="D22" i="6"/>
  <c r="G1311" i="4" s="1"/>
  <c r="BY6" i="2" s="1"/>
  <c r="G1310" i="4"/>
  <c r="BT6" i="2" s="1"/>
  <c r="BO102" i="2"/>
  <c r="BO99" i="2"/>
  <c r="CN22" i="6"/>
  <c r="G1653" i="4" s="1"/>
  <c r="G1652" i="4"/>
  <c r="BA126" i="2"/>
  <c r="AQ129" i="2"/>
  <c r="AQ131" i="2" s="1"/>
  <c r="K4" i="5"/>
  <c r="C1202" i="4" l="1"/>
  <c r="E1201" i="4"/>
  <c r="C141" i="4"/>
  <c r="E141" i="4" s="1"/>
  <c r="BT23" i="2"/>
  <c r="R324" i="4"/>
  <c r="BY23" i="2"/>
  <c r="R325" i="4"/>
  <c r="BK130" i="2"/>
  <c r="F3" i="1"/>
  <c r="BK126" i="2"/>
  <c r="C3" i="1"/>
  <c r="BP122" i="2"/>
  <c r="BY102" i="2"/>
  <c r="BT97" i="2"/>
  <c r="BT102" i="2"/>
  <c r="BY97" i="2"/>
  <c r="BT99" i="2"/>
  <c r="BY99" i="2"/>
  <c r="BP120" i="2"/>
  <c r="L4" i="5"/>
  <c r="AV129" i="2"/>
  <c r="AV131" i="2" s="1"/>
  <c r="C1203" i="4" l="1"/>
  <c r="E1203" i="4" s="1"/>
  <c r="E1202" i="4"/>
  <c r="C142" i="4"/>
  <c r="E142" i="4" s="1"/>
  <c r="BP126" i="2"/>
  <c r="C4" i="1"/>
  <c r="BP130" i="2"/>
  <c r="F4" i="1"/>
  <c r="BU120" i="2"/>
  <c r="BU122" i="2"/>
  <c r="M4" i="5"/>
  <c r="AQ117" i="2"/>
  <c r="C143" i="4" l="1"/>
  <c r="E143" i="4" s="1"/>
  <c r="BU130" i="2"/>
  <c r="F5" i="1"/>
  <c r="BU126" i="2"/>
  <c r="C5" i="1"/>
  <c r="BF130" i="2"/>
  <c r="BZ122" i="2"/>
  <c r="BF126" i="2"/>
  <c r="BZ120" i="2"/>
  <c r="N4" i="5"/>
  <c r="AQ125" i="2"/>
  <c r="AQ127" i="2" s="1"/>
  <c r="AQ133" i="2" s="1"/>
  <c r="AL117" i="2"/>
  <c r="C144" i="4" l="1"/>
  <c r="E144" i="4" s="1"/>
  <c r="BZ126" i="2"/>
  <c r="C6" i="1"/>
  <c r="BZ130" i="2"/>
  <c r="F6" i="1"/>
  <c r="O4" i="5"/>
  <c r="AL125" i="2"/>
  <c r="AL127" i="2" s="1"/>
  <c r="AL133" i="2" s="1"/>
  <c r="C145" i="4" l="1"/>
  <c r="E145" i="4" s="1"/>
  <c r="P4" i="5"/>
  <c r="AY32" i="2" l="1"/>
  <c r="AX32" i="2" l="1"/>
  <c r="K16" i="5" l="1"/>
  <c r="A13" i="4"/>
  <c r="A211" i="4" l="1"/>
  <c r="B212" i="4" s="1"/>
  <c r="A1979" i="4"/>
  <c r="A1961" i="4"/>
  <c r="A1997" i="4"/>
  <c r="A2015" i="4"/>
  <c r="A1853" i="4"/>
  <c r="A1835" i="4"/>
  <c r="A1817" i="4"/>
  <c r="B14" i="4"/>
  <c r="A1943" i="4"/>
  <c r="A121" i="4"/>
  <c r="B121" i="4" s="1"/>
  <c r="A1709" i="4"/>
  <c r="B1709" i="4" s="1"/>
  <c r="A729" i="4"/>
  <c r="A1763" i="4"/>
  <c r="B1763" i="4" s="1"/>
  <c r="A981" i="4"/>
  <c r="N981" i="4" s="1"/>
  <c r="A1035" i="4"/>
  <c r="N1035" i="4" s="1"/>
  <c r="A1161" i="4"/>
  <c r="A1449" i="4"/>
  <c r="A1727" i="4"/>
  <c r="A1215" i="4"/>
  <c r="B1216" i="4" s="1"/>
  <c r="A420" i="4"/>
  <c r="A1395" i="4"/>
  <c r="A603" i="4"/>
  <c r="A1359" i="4"/>
  <c r="A1323" i="4"/>
  <c r="A891" i="4"/>
  <c r="A1647" i="4"/>
  <c r="A1503" i="4"/>
  <c r="A855" i="4"/>
  <c r="N855" i="4" s="1"/>
  <c r="A363" i="4"/>
  <c r="A1053" i="4"/>
  <c r="N1053" i="4" s="1"/>
  <c r="A1377" i="4"/>
  <c r="A1907" i="4"/>
  <c r="B1907" i="4" s="1"/>
  <c r="A394" i="4"/>
  <c r="A1871" i="4"/>
  <c r="A1745" i="4"/>
  <c r="B1745" i="4" s="1"/>
  <c r="A1629" i="4"/>
  <c r="O1629" i="4" s="1"/>
  <c r="A1107" i="4"/>
  <c r="B1108" i="4" s="1"/>
  <c r="A175" i="4"/>
  <c r="A1799" i="4"/>
  <c r="B1799" i="4" s="1"/>
  <c r="A407" i="4"/>
  <c r="A1125" i="4"/>
  <c r="A1889" i="4"/>
  <c r="A1611" i="4"/>
  <c r="N1611" i="4" s="1"/>
  <c r="A572" i="4"/>
  <c r="B572" i="4" s="1"/>
  <c r="A1089" i="4"/>
  <c r="J1089" i="4" s="1"/>
  <c r="A350" i="4"/>
  <c r="A139" i="4"/>
  <c r="A157" i="4"/>
  <c r="A675" i="4"/>
  <c r="A783" i="4"/>
  <c r="A505" i="4"/>
  <c r="A1467" i="4"/>
  <c r="A492" i="4"/>
  <c r="A747" i="4"/>
  <c r="B747" i="4" s="1"/>
  <c r="A1683" i="4"/>
  <c r="A1269" i="4"/>
  <c r="A523" i="4"/>
  <c r="B524" i="4" s="1"/>
  <c r="A765" i="4"/>
  <c r="A265" i="4"/>
  <c r="A1143" i="4"/>
  <c r="B1143" i="4" s="1"/>
  <c r="A229" i="4"/>
  <c r="A837" i="4"/>
  <c r="N837" i="4" s="1"/>
  <c r="A1341" i="4"/>
  <c r="A1413" i="4"/>
  <c r="A1431" i="4"/>
  <c r="A1539" i="4"/>
  <c r="A103" i="4"/>
  <c r="A1665" i="4"/>
  <c r="A693" i="4"/>
  <c r="D694" i="4" s="1"/>
  <c r="D695" i="4" s="1"/>
  <c r="D696" i="4" s="1"/>
  <c r="D697" i="4" s="1"/>
  <c r="D698" i="4" s="1"/>
  <c r="D699" i="4" s="1"/>
  <c r="A801" i="4"/>
  <c r="N801" i="4" s="1"/>
  <c r="A1071" i="4"/>
  <c r="N1071" i="4" s="1"/>
  <c r="A1197" i="4"/>
  <c r="A247" i="4"/>
  <c r="D248" i="4" s="1"/>
  <c r="A337" i="4"/>
  <c r="A1485" i="4"/>
  <c r="A31" i="4"/>
  <c r="A474" i="4"/>
  <c r="A85" i="4"/>
  <c r="A438" i="4"/>
  <c r="D439" i="4" s="1"/>
  <c r="A1557" i="4"/>
  <c r="A1233" i="4"/>
  <c r="A67" i="4"/>
  <c r="A1017" i="4"/>
  <c r="N1017" i="4" s="1"/>
  <c r="A1179" i="4"/>
  <c r="A657" i="4"/>
  <c r="A639" i="4"/>
  <c r="A819" i="4"/>
  <c r="A963" i="4"/>
  <c r="A541" i="4"/>
  <c r="A621" i="4"/>
  <c r="A927" i="4"/>
  <c r="A1305" i="4"/>
  <c r="A319" i="4"/>
  <c r="A1251" i="4"/>
  <c r="A1575" i="4"/>
  <c r="A1696" i="4"/>
  <c r="A301" i="4"/>
  <c r="A49" i="4"/>
  <c r="A554" i="4"/>
  <c r="D556" i="4" s="1"/>
  <c r="D557" i="4" s="1"/>
  <c r="D558" i="4" s="1"/>
  <c r="D559" i="4" s="1"/>
  <c r="D560" i="4" s="1"/>
  <c r="A1521" i="4"/>
  <c r="A585" i="4"/>
  <c r="A456" i="4"/>
  <c r="A945" i="4"/>
  <c r="A1781" i="4"/>
  <c r="B13" i="4"/>
  <c r="A283" i="4"/>
  <c r="A711" i="4"/>
  <c r="A193" i="4"/>
  <c r="A381" i="4"/>
  <c r="A999" i="4"/>
  <c r="N999" i="4" s="1"/>
  <c r="A909" i="4"/>
  <c r="A1287" i="4"/>
  <c r="A873" i="4"/>
  <c r="A1593" i="4"/>
  <c r="A1925" i="4"/>
  <c r="D645" i="4" l="1"/>
  <c r="D641" i="4"/>
  <c r="D643" i="4"/>
  <c r="D640" i="4"/>
  <c r="D644" i="4"/>
  <c r="D642" i="4"/>
  <c r="D607" i="4"/>
  <c r="D606" i="4"/>
  <c r="D604" i="4"/>
  <c r="D609" i="4"/>
  <c r="D605" i="4"/>
  <c r="D608" i="4"/>
  <c r="Q986" i="4"/>
  <c r="Q985" i="4"/>
  <c r="Q984" i="4"/>
  <c r="Q983" i="4"/>
  <c r="Q982" i="4"/>
  <c r="Q987" i="4"/>
  <c r="Q859" i="4"/>
  <c r="Q857" i="4"/>
  <c r="Q856" i="4"/>
  <c r="Q861" i="4"/>
  <c r="Q858" i="4"/>
  <c r="Q860" i="4"/>
  <c r="Q1018" i="4"/>
  <c r="Q1021" i="4"/>
  <c r="Q1022" i="4"/>
  <c r="Q1020" i="4"/>
  <c r="Q1019" i="4"/>
  <c r="Q1023" i="4"/>
  <c r="Q1075" i="4"/>
  <c r="Q1074" i="4"/>
  <c r="Q1076" i="4"/>
  <c r="Q1073" i="4"/>
  <c r="Q1077" i="4"/>
  <c r="Q1072" i="4"/>
  <c r="D591" i="4"/>
  <c r="D588" i="4"/>
  <c r="D586" i="4"/>
  <c r="D587" i="4"/>
  <c r="D590" i="4"/>
  <c r="D589" i="4"/>
  <c r="B211" i="4"/>
  <c r="B783" i="4"/>
  <c r="D785" i="4"/>
  <c r="D784" i="4"/>
  <c r="B2015" i="4"/>
  <c r="B2016" i="4"/>
  <c r="B1979" i="4"/>
  <c r="B1980" i="4"/>
  <c r="E1271" i="4"/>
  <c r="BC53" i="2" s="1"/>
  <c r="E1272" i="4"/>
  <c r="BH53" i="2" s="1"/>
  <c r="E1273" i="4"/>
  <c r="BM53" i="2" s="1"/>
  <c r="E1274" i="4"/>
  <c r="E1275" i="4"/>
  <c r="B1962" i="4"/>
  <c r="B1961" i="4"/>
  <c r="J1092" i="4"/>
  <c r="J1093" i="4"/>
  <c r="J1094" i="4"/>
  <c r="J1090" i="4"/>
  <c r="O1090" i="4" s="1"/>
  <c r="O1092" i="4" s="1"/>
  <c r="J1095" i="4"/>
  <c r="J1091" i="4"/>
  <c r="B1997" i="4"/>
  <c r="B1998" i="4"/>
  <c r="O1611" i="4"/>
  <c r="O1612" i="4"/>
  <c r="O801" i="4"/>
  <c r="O802" i="4"/>
  <c r="N891" i="4"/>
  <c r="N963" i="4"/>
  <c r="N873" i="4"/>
  <c r="N909" i="4"/>
  <c r="O1071" i="4"/>
  <c r="O1072" i="4"/>
  <c r="O1036" i="4"/>
  <c r="O1035" i="4"/>
  <c r="O981" i="4"/>
  <c r="O982" i="4"/>
  <c r="O855" i="4"/>
  <c r="O856" i="4"/>
  <c r="N945" i="4"/>
  <c r="O999" i="4"/>
  <c r="O1000" i="4"/>
  <c r="O837" i="4"/>
  <c r="O838" i="4"/>
  <c r="O1053" i="4"/>
  <c r="O1054" i="4"/>
  <c r="N927" i="4"/>
  <c r="O1017" i="4"/>
  <c r="O1018" i="4"/>
  <c r="B523" i="4"/>
  <c r="B1835" i="4"/>
  <c r="B1836" i="4"/>
  <c r="B1817" i="4"/>
  <c r="B1818" i="4"/>
  <c r="B1853" i="4"/>
  <c r="B1854" i="4"/>
  <c r="D1256" i="4"/>
  <c r="BQ96" i="2" s="1"/>
  <c r="D1255" i="4"/>
  <c r="BL96" i="2" s="1"/>
  <c r="D1253" i="4"/>
  <c r="BB96" i="2" s="1"/>
  <c r="D1257" i="4"/>
  <c r="BV96" i="2" s="1"/>
  <c r="D1254" i="4"/>
  <c r="BG96" i="2" s="1"/>
  <c r="O1094" i="4"/>
  <c r="O1091" i="4"/>
  <c r="O1093" i="4"/>
  <c r="O1095" i="4"/>
  <c r="D476" i="4"/>
  <c r="D475" i="4"/>
  <c r="D477" i="4"/>
  <c r="D478" i="4"/>
  <c r="D479" i="4"/>
  <c r="D480" i="4"/>
  <c r="B855" i="4"/>
  <c r="B122" i="4"/>
  <c r="B1943" i="4"/>
  <c r="B1944" i="4"/>
  <c r="D1252" i="4"/>
  <c r="D443" i="4"/>
  <c r="D444" i="4"/>
  <c r="D440" i="4"/>
  <c r="D441" i="4"/>
  <c r="D442" i="4"/>
  <c r="D460" i="4"/>
  <c r="D462" i="4"/>
  <c r="D458" i="4"/>
  <c r="D457" i="4"/>
  <c r="D461" i="4"/>
  <c r="D459" i="4"/>
  <c r="B1468" i="4"/>
  <c r="B1396" i="4"/>
  <c r="B1612" i="4"/>
  <c r="B1540" i="4"/>
  <c r="AX53" i="2"/>
  <c r="BR53" i="2"/>
  <c r="BW53" i="2"/>
  <c r="B1449" i="4"/>
  <c r="B1539" i="4"/>
  <c r="B1450" i="4"/>
  <c r="B1107" i="4"/>
  <c r="B1215" i="4"/>
  <c r="B784" i="4"/>
  <c r="B1144" i="4"/>
  <c r="B748" i="4"/>
  <c r="B1710" i="4"/>
  <c r="B1908" i="4"/>
  <c r="B856" i="4"/>
  <c r="B1467" i="4"/>
  <c r="B573" i="4"/>
  <c r="B1746" i="4"/>
  <c r="B1395" i="4"/>
  <c r="B1611" i="4"/>
  <c r="B1800" i="4"/>
  <c r="B1764" i="4"/>
  <c r="B1342" i="4"/>
  <c r="B1341" i="4"/>
  <c r="B266" i="4"/>
  <c r="B265" i="4"/>
  <c r="B1684" i="4"/>
  <c r="B1683" i="4"/>
  <c r="B505" i="4"/>
  <c r="B506" i="4"/>
  <c r="B140" i="4"/>
  <c r="B139" i="4"/>
  <c r="B1378" i="4"/>
  <c r="B1377" i="4"/>
  <c r="B1504" i="4"/>
  <c r="B1503" i="4"/>
  <c r="B1324" i="4"/>
  <c r="B1323" i="4"/>
  <c r="B420" i="4"/>
  <c r="B421" i="4"/>
  <c r="B1162" i="4"/>
  <c r="B1161" i="4"/>
  <c r="B730" i="4"/>
  <c r="B729" i="4"/>
  <c r="B1414" i="4"/>
  <c r="B1413" i="4"/>
  <c r="B1270" i="4"/>
  <c r="B1269" i="4"/>
  <c r="B158" i="4"/>
  <c r="B157" i="4"/>
  <c r="B408" i="4"/>
  <c r="B407" i="4"/>
  <c r="B1629" i="4"/>
  <c r="B1630" i="4"/>
  <c r="B1432" i="4"/>
  <c r="B1431" i="4"/>
  <c r="B229" i="4"/>
  <c r="B230" i="4"/>
  <c r="B493" i="4"/>
  <c r="B492" i="4"/>
  <c r="B675" i="4"/>
  <c r="B676" i="4"/>
  <c r="B1090" i="4"/>
  <c r="B1089" i="4"/>
  <c r="B1126" i="4"/>
  <c r="B1125" i="4"/>
  <c r="B395" i="4"/>
  <c r="B394" i="4"/>
  <c r="B364" i="4"/>
  <c r="B363" i="4"/>
  <c r="B891" i="4"/>
  <c r="B892" i="4"/>
  <c r="B604" i="4"/>
  <c r="B603" i="4"/>
  <c r="B1728" i="4"/>
  <c r="B1727" i="4"/>
  <c r="B982" i="4"/>
  <c r="B981" i="4"/>
  <c r="B838" i="4"/>
  <c r="B837" i="4"/>
  <c r="B766" i="4"/>
  <c r="B765" i="4"/>
  <c r="B351" i="4"/>
  <c r="B350" i="4"/>
  <c r="B1890" i="4"/>
  <c r="B1889" i="4"/>
  <c r="B176" i="4"/>
  <c r="B175" i="4"/>
  <c r="B1871" i="4"/>
  <c r="B1872" i="4"/>
  <c r="B1054" i="4"/>
  <c r="B1053" i="4"/>
  <c r="B1647" i="4"/>
  <c r="B1648" i="4"/>
  <c r="B1359" i="4"/>
  <c r="B1360" i="4"/>
  <c r="B1036" i="4"/>
  <c r="B1035" i="4"/>
  <c r="B711" i="4"/>
  <c r="B712" i="4"/>
  <c r="B1180" i="4"/>
  <c r="B1179" i="4"/>
  <c r="B1665" i="4"/>
  <c r="B1666" i="4"/>
  <c r="B283" i="4"/>
  <c r="B284" i="4"/>
  <c r="B927" i="4"/>
  <c r="B928" i="4"/>
  <c r="B874" i="4"/>
  <c r="B873" i="4"/>
  <c r="B621" i="4"/>
  <c r="B622" i="4"/>
  <c r="B68" i="4"/>
  <c r="B67" i="4"/>
  <c r="B337" i="4"/>
  <c r="B338" i="4"/>
  <c r="B1781" i="4"/>
  <c r="B1782" i="4"/>
  <c r="B1697" i="4"/>
  <c r="B1696" i="4"/>
  <c r="B1234" i="4"/>
  <c r="B1233" i="4"/>
  <c r="B946" i="4"/>
  <c r="B945" i="4"/>
  <c r="B1558" i="4"/>
  <c r="B1557" i="4"/>
  <c r="B999" i="4"/>
  <c r="B1000" i="4"/>
  <c r="B456" i="4"/>
  <c r="B457" i="4"/>
  <c r="B1251" i="4"/>
  <c r="B1252" i="4"/>
  <c r="B819" i="4"/>
  <c r="B820" i="4"/>
  <c r="B438" i="4"/>
  <c r="B439" i="4"/>
  <c r="B1072" i="4"/>
  <c r="B1071" i="4"/>
  <c r="B554" i="4"/>
  <c r="B555" i="4"/>
  <c r="B50" i="4"/>
  <c r="B49" i="4"/>
  <c r="B1485" i="4"/>
  <c r="B1486" i="4"/>
  <c r="B104" i="4"/>
  <c r="B103" i="4"/>
  <c r="B302" i="4"/>
  <c r="B301" i="4"/>
  <c r="B910" i="4"/>
  <c r="B909" i="4"/>
  <c r="B963" i="4"/>
  <c r="B964" i="4"/>
  <c r="B586" i="4"/>
  <c r="B585" i="4"/>
  <c r="B1925" i="4"/>
  <c r="B1926" i="4"/>
  <c r="B1305" i="4"/>
  <c r="B1306" i="4"/>
  <c r="B31" i="4"/>
  <c r="B32" i="4"/>
  <c r="B1593" i="4"/>
  <c r="B1594" i="4"/>
  <c r="B1018" i="4"/>
  <c r="B1017" i="4"/>
  <c r="B1288" i="4"/>
  <c r="B1287" i="4"/>
  <c r="B542" i="4"/>
  <c r="B541" i="4"/>
  <c r="B248" i="4"/>
  <c r="B247" i="4"/>
  <c r="B1576" i="4"/>
  <c r="B1575" i="4"/>
  <c r="B1198" i="4"/>
  <c r="B1197" i="4"/>
  <c r="B381" i="4"/>
  <c r="B382" i="4"/>
  <c r="B320" i="4"/>
  <c r="B319" i="4"/>
  <c r="B640" i="4"/>
  <c r="B639" i="4"/>
  <c r="B86" i="4"/>
  <c r="B85" i="4"/>
  <c r="B801" i="4"/>
  <c r="B802" i="4"/>
  <c r="B193" i="4"/>
  <c r="B194" i="4"/>
  <c r="B1521" i="4"/>
  <c r="B1522" i="4"/>
  <c r="B658" i="4"/>
  <c r="B657" i="4"/>
  <c r="B475" i="4"/>
  <c r="B474" i="4"/>
  <c r="B693" i="4"/>
  <c r="B694" i="4"/>
  <c r="Q949" i="4" l="1"/>
  <c r="Q950" i="4"/>
  <c r="Q948" i="4"/>
  <c r="Q951" i="4"/>
  <c r="Q946" i="4"/>
  <c r="Q947" i="4"/>
  <c r="Q969" i="4"/>
  <c r="Q966" i="4"/>
  <c r="Q964" i="4"/>
  <c r="Q968" i="4"/>
  <c r="Q965" i="4"/>
  <c r="Q967" i="4"/>
  <c r="Q932" i="4"/>
  <c r="Q928" i="4"/>
  <c r="Q931" i="4"/>
  <c r="Q933" i="4"/>
  <c r="Q930" i="4"/>
  <c r="Q929" i="4"/>
  <c r="Q910" i="4"/>
  <c r="Q912" i="4"/>
  <c r="Q914" i="4"/>
  <c r="Q911" i="4"/>
  <c r="Q913" i="4"/>
  <c r="Q915" i="4"/>
  <c r="W1090" i="4"/>
  <c r="D1198" i="4" s="1"/>
  <c r="T1090" i="4"/>
  <c r="D1576" i="4" s="1"/>
  <c r="AW89" i="2" s="1"/>
  <c r="P1090" i="4"/>
  <c r="X1090" i="4"/>
  <c r="D1216" i="4" s="1"/>
  <c r="Q1090" i="4"/>
  <c r="D1108" i="4" s="1"/>
  <c r="Y1090" i="4"/>
  <c r="D1594" i="4" s="1"/>
  <c r="AW94" i="2" s="1"/>
  <c r="U1090" i="4"/>
  <c r="D1162" i="4" s="1"/>
  <c r="R1090" i="4"/>
  <c r="D1126" i="4" s="1"/>
  <c r="V1090" i="4"/>
  <c r="D1180" i="4" s="1"/>
  <c r="S1090" i="4"/>
  <c r="D1144" i="4" s="1"/>
  <c r="W1614" i="4"/>
  <c r="X1614" i="4"/>
  <c r="W1616" i="4"/>
  <c r="X1616" i="4"/>
  <c r="V860" i="4"/>
  <c r="BQ72" i="2" s="1"/>
  <c r="U860" i="4"/>
  <c r="F860" i="4" s="1"/>
  <c r="X1612" i="4"/>
  <c r="W1612" i="4"/>
  <c r="U861" i="4"/>
  <c r="F861" i="4" s="1"/>
  <c r="V861" i="4"/>
  <c r="BV72" i="2" s="1"/>
  <c r="X1617" i="4"/>
  <c r="W1617" i="4"/>
  <c r="U857" i="4"/>
  <c r="F857" i="4" s="1"/>
  <c r="V857" i="4"/>
  <c r="BB72" i="2" s="1"/>
  <c r="V858" i="4"/>
  <c r="BG72" i="2" s="1"/>
  <c r="U858" i="4"/>
  <c r="F858" i="4" s="1"/>
  <c r="X1615" i="4"/>
  <c r="W1615" i="4"/>
  <c r="X1613" i="4"/>
  <c r="W1613" i="4"/>
  <c r="V856" i="4"/>
  <c r="AW72" i="2" s="1"/>
  <c r="U856" i="4"/>
  <c r="F856" i="4" s="1"/>
  <c r="U859" i="4"/>
  <c r="F859" i="4" s="1"/>
  <c r="V859" i="4"/>
  <c r="BL72" i="2" s="1"/>
  <c r="O873" i="4"/>
  <c r="O874" i="4"/>
  <c r="O909" i="4"/>
  <c r="O910" i="4"/>
  <c r="O963" i="4"/>
  <c r="O964" i="4"/>
  <c r="O928" i="4"/>
  <c r="O927" i="4"/>
  <c r="O945" i="4"/>
  <c r="O946" i="4"/>
  <c r="O891" i="4"/>
  <c r="O892" i="4"/>
  <c r="Q1095" i="4"/>
  <c r="D1113" i="4" s="1"/>
  <c r="U1095" i="4"/>
  <c r="D1167" i="4" s="1"/>
  <c r="W1095" i="4"/>
  <c r="D1203" i="4" s="1"/>
  <c r="V1095" i="4"/>
  <c r="D1185" i="4" s="1"/>
  <c r="X1095" i="4"/>
  <c r="D1221" i="4" s="1"/>
  <c r="S1095" i="4"/>
  <c r="D1149" i="4" s="1"/>
  <c r="R1095" i="4"/>
  <c r="D1131" i="4" s="1"/>
  <c r="Y1095" i="4"/>
  <c r="D1599" i="4" s="1"/>
  <c r="BV94" i="2" s="1"/>
  <c r="T1095" i="4"/>
  <c r="D1581" i="4" s="1"/>
  <c r="BV89" i="2" s="1"/>
  <c r="P1095" i="4"/>
  <c r="S1093" i="4"/>
  <c r="D1147" i="4" s="1"/>
  <c r="Q1093" i="4"/>
  <c r="D1111" i="4" s="1"/>
  <c r="T1093" i="4"/>
  <c r="D1579" i="4" s="1"/>
  <c r="BL89" i="2" s="1"/>
  <c r="X1093" i="4"/>
  <c r="D1219" i="4" s="1"/>
  <c r="R1093" i="4"/>
  <c r="D1129" i="4" s="1"/>
  <c r="P1093" i="4"/>
  <c r="U1093" i="4"/>
  <c r="D1165" i="4" s="1"/>
  <c r="V1093" i="4"/>
  <c r="D1183" i="4" s="1"/>
  <c r="W1093" i="4"/>
  <c r="D1201" i="4" s="1"/>
  <c r="Y1093" i="4"/>
  <c r="D1597" i="4" s="1"/>
  <c r="BL94" i="2" s="1"/>
  <c r="W1091" i="4"/>
  <c r="D1199" i="4" s="1"/>
  <c r="S1091" i="4"/>
  <c r="D1145" i="4" s="1"/>
  <c r="P1091" i="4"/>
  <c r="U1091" i="4"/>
  <c r="D1163" i="4" s="1"/>
  <c r="T1091" i="4"/>
  <c r="D1577" i="4" s="1"/>
  <c r="BB89" i="2" s="1"/>
  <c r="V1091" i="4"/>
  <c r="D1181" i="4" s="1"/>
  <c r="Q1091" i="4"/>
  <c r="D1109" i="4" s="1"/>
  <c r="X1091" i="4"/>
  <c r="D1217" i="4" s="1"/>
  <c r="R1091" i="4"/>
  <c r="D1127" i="4" s="1"/>
  <c r="Y1091" i="4"/>
  <c r="D1595" i="4" s="1"/>
  <c r="BB94" i="2" s="1"/>
  <c r="U1092" i="4"/>
  <c r="D1164" i="4" s="1"/>
  <c r="V1092" i="4"/>
  <c r="D1182" i="4" s="1"/>
  <c r="W1092" i="4"/>
  <c r="D1200" i="4" s="1"/>
  <c r="X1092" i="4"/>
  <c r="D1218" i="4" s="1"/>
  <c r="P1092" i="4"/>
  <c r="Y1092" i="4"/>
  <c r="D1596" i="4" s="1"/>
  <c r="BG94" i="2" s="1"/>
  <c r="S1092" i="4"/>
  <c r="D1146" i="4" s="1"/>
  <c r="T1092" i="4"/>
  <c r="D1578" i="4" s="1"/>
  <c r="BG89" i="2" s="1"/>
  <c r="Q1092" i="4"/>
  <c r="D1110" i="4" s="1"/>
  <c r="R1092" i="4"/>
  <c r="D1128" i="4" s="1"/>
  <c r="W1094" i="4"/>
  <c r="D1202" i="4" s="1"/>
  <c r="Y1094" i="4"/>
  <c r="D1598" i="4" s="1"/>
  <c r="BQ94" i="2" s="1"/>
  <c r="S1094" i="4"/>
  <c r="D1148" i="4" s="1"/>
  <c r="T1094" i="4"/>
  <c r="D1580" i="4" s="1"/>
  <c r="BQ89" i="2" s="1"/>
  <c r="U1094" i="4"/>
  <c r="D1166" i="4" s="1"/>
  <c r="V1094" i="4"/>
  <c r="D1184" i="4" s="1"/>
  <c r="X1094" i="4"/>
  <c r="D1220" i="4" s="1"/>
  <c r="P1094" i="4"/>
  <c r="Q1094" i="4"/>
  <c r="D1112" i="4" s="1"/>
  <c r="R1094" i="4"/>
  <c r="D1130" i="4" s="1"/>
  <c r="AW83" i="2"/>
  <c r="BG83" i="2"/>
  <c r="AW79" i="3"/>
  <c r="AW96" i="2"/>
  <c r="D1090" i="4" l="1"/>
  <c r="Z1090" i="4"/>
  <c r="U931" i="4"/>
  <c r="V931" i="4"/>
  <c r="V928" i="4"/>
  <c r="AW76" i="2" s="1"/>
  <c r="U928" i="4"/>
  <c r="U929" i="4"/>
  <c r="V929" i="4"/>
  <c r="U933" i="4"/>
  <c r="V933" i="4"/>
  <c r="V930" i="4"/>
  <c r="U930" i="4"/>
  <c r="U932" i="4"/>
  <c r="V932" i="4"/>
  <c r="Z1094" i="4"/>
  <c r="D1094" i="4"/>
  <c r="Z1093" i="4"/>
  <c r="D1093" i="4"/>
  <c r="Z1091" i="4"/>
  <c r="D1091" i="4"/>
  <c r="Z1092" i="4"/>
  <c r="D1092" i="4"/>
  <c r="Z1095" i="4"/>
  <c r="D1095" i="4"/>
  <c r="BQ76" i="2" l="1"/>
  <c r="BG76" i="2"/>
  <c r="BV76" i="2"/>
  <c r="BB76" i="2"/>
  <c r="BL76" i="2"/>
  <c r="AV117" i="2" l="1"/>
  <c r="AV125" i="2" l="1"/>
  <c r="AV127" i="2" s="1"/>
  <c r="AV133" i="2" s="1"/>
  <c r="AG117" i="2" l="1"/>
  <c r="AG125" i="2" s="1"/>
  <c r="G5" i="5"/>
  <c r="AG81" i="3" s="1"/>
  <c r="AG82" i="3" s="1"/>
  <c r="AG90" i="3" s="1"/>
  <c r="AG92" i="3" s="1"/>
  <c r="A10" i="4" l="1"/>
  <c r="G15" i="5"/>
  <c r="H15" i="5"/>
  <c r="A2012" i="4" l="1"/>
  <c r="A1994" i="4"/>
  <c r="A1976" i="4"/>
  <c r="A1958" i="4"/>
  <c r="D15" i="4"/>
  <c r="A208" i="4"/>
  <c r="A1940" i="4"/>
  <c r="B1941" i="4" s="1"/>
  <c r="A1832" i="4"/>
  <c r="A1814" i="4"/>
  <c r="A1850" i="4"/>
  <c r="D14" i="4"/>
  <c r="D19" i="4"/>
  <c r="D18" i="4"/>
  <c r="D16" i="4"/>
  <c r="D17" i="4"/>
  <c r="B10" i="4"/>
  <c r="A190" i="4"/>
  <c r="A502" i="4"/>
  <c r="A636" i="4"/>
  <c r="A996" i="4"/>
  <c r="A1500" i="4"/>
  <c r="A471" i="4"/>
  <c r="A1014" i="4"/>
  <c r="N1014" i="4" s="1"/>
  <c r="A1338" i="4"/>
  <c r="A960" i="4"/>
  <c r="A1392" i="4"/>
  <c r="A172" i="4"/>
  <c r="A538" i="4"/>
  <c r="A1212" i="4"/>
  <c r="A1194" i="4"/>
  <c r="A391" i="4"/>
  <c r="A64" i="4"/>
  <c r="A1706" i="4"/>
  <c r="A298" i="4"/>
  <c r="A1554" i="4"/>
  <c r="A1886" i="4"/>
  <c r="A942" i="4"/>
  <c r="A888" i="4"/>
  <c r="A780" i="4"/>
  <c r="A404" i="4"/>
  <c r="B11" i="4"/>
  <c r="A1266" i="4"/>
  <c r="A453" i="4"/>
  <c r="A1248" i="4"/>
  <c r="A1158" i="4"/>
  <c r="A654" i="4"/>
  <c r="A435" i="4"/>
  <c r="A1086" i="4"/>
  <c r="A520" i="4"/>
  <c r="A690" i="4"/>
  <c r="A226" i="4"/>
  <c r="A1356" i="4"/>
  <c r="A1374" i="4"/>
  <c r="A1482" i="4"/>
  <c r="A1590" i="4"/>
  <c r="A316" i="4"/>
  <c r="A1446" i="4"/>
  <c r="A1644" i="4"/>
  <c r="A1760" i="4"/>
  <c r="A1104" i="4"/>
  <c r="A834" i="4"/>
  <c r="N834" i="4" s="1"/>
  <c r="Q838" i="4" s="1"/>
  <c r="A1140" i="4"/>
  <c r="A136" i="4"/>
  <c r="A672" i="4"/>
  <c r="A82" i="4"/>
  <c r="A618" i="4"/>
  <c r="A762" i="4"/>
  <c r="A1176" i="4"/>
  <c r="A744" i="4"/>
  <c r="A28" i="4"/>
  <c r="A1778" i="4"/>
  <c r="A1320" i="4"/>
  <c r="A708" i="4"/>
  <c r="D712" i="4" s="1"/>
  <c r="A1032" i="4"/>
  <c r="N1032" i="4" s="1"/>
  <c r="A852" i="4"/>
  <c r="N852" i="4" s="1"/>
  <c r="A1428" i="4"/>
  <c r="A154" i="4"/>
  <c r="A1626" i="4"/>
  <c r="O1626" i="4" s="1"/>
  <c r="A1796" i="4"/>
  <c r="A1662" i="4"/>
  <c r="A1904" i="4"/>
  <c r="A489" i="4"/>
  <c r="A1302" i="4"/>
  <c r="A1724" i="4"/>
  <c r="A280" i="4"/>
  <c r="A551" i="4"/>
  <c r="A244" i="4"/>
  <c r="A1068" i="4"/>
  <c r="N1068" i="4" s="1"/>
  <c r="A1608" i="4"/>
  <c r="N1608" i="4" s="1"/>
  <c r="A417" i="4"/>
  <c r="A1464" i="4"/>
  <c r="A1230" i="4"/>
  <c r="A100" i="4"/>
  <c r="A870" i="4"/>
  <c r="A378" i="4"/>
  <c r="A1742" i="4"/>
  <c r="A360" i="4"/>
  <c r="A906" i="4"/>
  <c r="A1536" i="4"/>
  <c r="A1518" i="4"/>
  <c r="A334" i="4"/>
  <c r="A1572" i="4"/>
  <c r="A582" i="4"/>
  <c r="A1922" i="4"/>
  <c r="A1410" i="4"/>
  <c r="A1868" i="4"/>
  <c r="A569" i="4"/>
  <c r="A347" i="4"/>
  <c r="A262" i="4"/>
  <c r="A1693" i="4"/>
  <c r="A600" i="4"/>
  <c r="A924" i="4"/>
  <c r="A1680" i="4"/>
  <c r="A1050" i="4"/>
  <c r="A726" i="4"/>
  <c r="A978" i="4"/>
  <c r="N978" i="4" s="1"/>
  <c r="A46" i="4"/>
  <c r="A798" i="4"/>
  <c r="A1284" i="4"/>
  <c r="A118" i="4"/>
  <c r="A816" i="4"/>
  <c r="A1122" i="4"/>
  <c r="D802" i="4" l="1"/>
  <c r="D803" i="4"/>
  <c r="D627" i="4"/>
  <c r="D626" i="4"/>
  <c r="D625" i="4"/>
  <c r="D624" i="4"/>
  <c r="D623" i="4"/>
  <c r="D622" i="4"/>
  <c r="D145" i="4"/>
  <c r="D144" i="4"/>
  <c r="D142" i="4"/>
  <c r="D140" i="4"/>
  <c r="D143" i="4"/>
  <c r="D141" i="4"/>
  <c r="D825" i="4"/>
  <c r="D820" i="4"/>
  <c r="D821" i="4"/>
  <c r="D369" i="4"/>
  <c r="D364" i="4"/>
  <c r="D368" i="4"/>
  <c r="BQ5" i="2" s="1"/>
  <c r="D366" i="4"/>
  <c r="BG5" i="2" s="1"/>
  <c r="D365" i="4"/>
  <c r="D367" i="4"/>
  <c r="BL5" i="2" s="1"/>
  <c r="Q842" i="4"/>
  <c r="Q840" i="4"/>
  <c r="Q841" i="4"/>
  <c r="Q839" i="4"/>
  <c r="Q843" i="4"/>
  <c r="B2013" i="4"/>
  <c r="B2012" i="4"/>
  <c r="D807" i="4"/>
  <c r="Q1040" i="4"/>
  <c r="Q1041" i="4"/>
  <c r="Q1037" i="4"/>
  <c r="Q1036" i="4"/>
  <c r="Q1038" i="4"/>
  <c r="Q1039" i="4"/>
  <c r="B1994" i="4"/>
  <c r="B1995" i="4"/>
  <c r="B1977" i="4"/>
  <c r="B1976" i="4"/>
  <c r="Q1612" i="4"/>
  <c r="Q1615" i="4"/>
  <c r="Q1614" i="4"/>
  <c r="Q1616" i="4"/>
  <c r="Q1617" i="4"/>
  <c r="Q1613" i="4"/>
  <c r="D767" i="4"/>
  <c r="O324" i="4"/>
  <c r="O321" i="4"/>
  <c r="O325" i="4"/>
  <c r="O322" i="4"/>
  <c r="O320" i="4"/>
  <c r="O323" i="4"/>
  <c r="B1958" i="4"/>
  <c r="B1959" i="4"/>
  <c r="BW40" i="2"/>
  <c r="BM40" i="2"/>
  <c r="BR40" i="2"/>
  <c r="O1608" i="4"/>
  <c r="O1609" i="4"/>
  <c r="BW39" i="2"/>
  <c r="BH39" i="2"/>
  <c r="BM39" i="2"/>
  <c r="BC39" i="2"/>
  <c r="N798" i="4"/>
  <c r="O852" i="4"/>
  <c r="O853" i="4"/>
  <c r="N1050" i="4"/>
  <c r="R1057" i="4"/>
  <c r="R1058" i="4"/>
  <c r="R1054" i="4"/>
  <c r="R1059" i="4"/>
  <c r="R1055" i="4"/>
  <c r="R1056" i="4"/>
  <c r="N906" i="4"/>
  <c r="O1032" i="4"/>
  <c r="O1033" i="4"/>
  <c r="O834" i="4"/>
  <c r="O835" i="4"/>
  <c r="O978" i="4"/>
  <c r="O979" i="4"/>
  <c r="N996" i="4"/>
  <c r="R1002" i="4"/>
  <c r="R1004" i="4"/>
  <c r="R1000" i="4"/>
  <c r="R1001" i="4"/>
  <c r="R1003" i="4"/>
  <c r="R1005" i="4"/>
  <c r="N960" i="4"/>
  <c r="N924" i="4"/>
  <c r="O1068" i="4"/>
  <c r="O1069" i="4"/>
  <c r="O1014" i="4"/>
  <c r="O1015" i="4"/>
  <c r="N870" i="4"/>
  <c r="BM38" i="2"/>
  <c r="BR38" i="2"/>
  <c r="N888" i="4"/>
  <c r="N942" i="4"/>
  <c r="B208" i="4"/>
  <c r="B209" i="4"/>
  <c r="B1940" i="4"/>
  <c r="O1666" i="4"/>
  <c r="D320" i="4"/>
  <c r="B1814" i="4"/>
  <c r="B1815" i="4"/>
  <c r="D1836" i="4"/>
  <c r="D1818" i="4"/>
  <c r="D1854" i="4"/>
  <c r="B1850" i="4"/>
  <c r="B1851" i="4"/>
  <c r="B1832" i="4"/>
  <c r="B1833" i="4"/>
  <c r="BM97" i="2"/>
  <c r="BR97" i="2"/>
  <c r="BH97" i="2"/>
  <c r="BW97" i="2"/>
  <c r="BC97" i="2"/>
  <c r="D766" i="4"/>
  <c r="BR46" i="2"/>
  <c r="BH46" i="2"/>
  <c r="BW46" i="2"/>
  <c r="BC46" i="2"/>
  <c r="BM46" i="2"/>
  <c r="BM10" i="2"/>
  <c r="D55" i="4"/>
  <c r="D53" i="4"/>
  <c r="BR10" i="2"/>
  <c r="BW10" i="2"/>
  <c r="BH10" i="2"/>
  <c r="D50" i="4"/>
  <c r="O50" i="4" s="1"/>
  <c r="D54" i="4"/>
  <c r="D52" i="4"/>
  <c r="BC10" i="2"/>
  <c r="E1728" i="4"/>
  <c r="AX101" i="2" s="1"/>
  <c r="BC40" i="2"/>
  <c r="BH40" i="2"/>
  <c r="D90" i="4"/>
  <c r="D91" i="4"/>
  <c r="D89" i="4"/>
  <c r="D86" i="4"/>
  <c r="D88" i="4"/>
  <c r="D87" i="4"/>
  <c r="BR39" i="2"/>
  <c r="BR15" i="2"/>
  <c r="BH15" i="2"/>
  <c r="BM15" i="2"/>
  <c r="BW15" i="2"/>
  <c r="BC15" i="2"/>
  <c r="AW47" i="3"/>
  <c r="BL6" i="2"/>
  <c r="BQ6" i="2"/>
  <c r="BW102" i="2"/>
  <c r="BH102" i="2"/>
  <c r="BC102" i="2"/>
  <c r="BM102" i="2"/>
  <c r="E1764" i="4"/>
  <c r="AX102" i="2" s="1"/>
  <c r="BR102" i="2"/>
  <c r="D1764" i="4"/>
  <c r="BQ20" i="2"/>
  <c r="BG20" i="2"/>
  <c r="BL20" i="2"/>
  <c r="D230" i="4"/>
  <c r="BB20" i="2"/>
  <c r="BV20" i="2"/>
  <c r="BQ27" i="2"/>
  <c r="BG27" i="2"/>
  <c r="BL27" i="2"/>
  <c r="BB27" i="2"/>
  <c r="BV27" i="2"/>
  <c r="BG17" i="2"/>
  <c r="BV17" i="2"/>
  <c r="BL17" i="2"/>
  <c r="BB17" i="2"/>
  <c r="BQ17" i="2"/>
  <c r="D176" i="4"/>
  <c r="BC37" i="2"/>
  <c r="BW37" i="2"/>
  <c r="BR37" i="2"/>
  <c r="BH37" i="2"/>
  <c r="BM37" i="2"/>
  <c r="D124" i="4"/>
  <c r="D126" i="4"/>
  <c r="D123" i="4"/>
  <c r="D127" i="4"/>
  <c r="D125" i="4"/>
  <c r="D122" i="4"/>
  <c r="BQ61" i="2"/>
  <c r="BL61" i="2"/>
  <c r="BV61" i="2"/>
  <c r="BB61" i="2"/>
  <c r="R926" i="4" s="1"/>
  <c r="BG61" i="2"/>
  <c r="R927" i="4" s="1"/>
  <c r="BH41" i="2"/>
  <c r="E1746" i="4"/>
  <c r="AX41" i="2" s="1"/>
  <c r="BR41" i="2"/>
  <c r="BM41" i="2"/>
  <c r="D1746" i="4"/>
  <c r="BC41" i="2"/>
  <c r="BW41" i="2"/>
  <c r="BR99" i="2"/>
  <c r="BH99" i="2"/>
  <c r="E1666" i="4"/>
  <c r="AX99" i="2" s="1"/>
  <c r="BW99" i="2"/>
  <c r="BM99" i="2"/>
  <c r="BC99" i="2"/>
  <c r="D1666" i="4"/>
  <c r="BB85" i="2"/>
  <c r="BV85" i="2"/>
  <c r="BQ85" i="2"/>
  <c r="BG85" i="2"/>
  <c r="BL85" i="2"/>
  <c r="BB5" i="2"/>
  <c r="BV5" i="2"/>
  <c r="D1715" i="4"/>
  <c r="E1715" i="4"/>
  <c r="BW100" i="2" s="1"/>
  <c r="D1711" i="4"/>
  <c r="D1713" i="4"/>
  <c r="D1712" i="4"/>
  <c r="E1710" i="4"/>
  <c r="AX100" i="2" s="1"/>
  <c r="E1713" i="4"/>
  <c r="BM100" i="2" s="1"/>
  <c r="D1714" i="4"/>
  <c r="E1714" i="4"/>
  <c r="BR100" i="2" s="1"/>
  <c r="E1711" i="4"/>
  <c r="BC100" i="2" s="1"/>
  <c r="E1712" i="4"/>
  <c r="BH100" i="2" s="1"/>
  <c r="D1710" i="4"/>
  <c r="D197" i="4"/>
  <c r="BL18" i="2" s="1"/>
  <c r="D196" i="4"/>
  <c r="BG18" i="2" s="1"/>
  <c r="D198" i="4"/>
  <c r="BQ18" i="2" s="1"/>
  <c r="D199" i="4"/>
  <c r="BV18" i="2" s="1"/>
  <c r="D195" i="4"/>
  <c r="BB18" i="2" s="1"/>
  <c r="D194" i="4"/>
  <c r="BR34" i="2"/>
  <c r="BC34" i="2"/>
  <c r="BW34" i="2"/>
  <c r="BM34" i="2"/>
  <c r="BH34" i="2"/>
  <c r="BB21" i="2"/>
  <c r="BL21" i="2"/>
  <c r="BV21" i="2"/>
  <c r="BQ21" i="2"/>
  <c r="BG21" i="2"/>
  <c r="BH103" i="2"/>
  <c r="BM103" i="2"/>
  <c r="BW103" i="2"/>
  <c r="D1782" i="4"/>
  <c r="E1782" i="4"/>
  <c r="AX103" i="2" s="1"/>
  <c r="BR103" i="2"/>
  <c r="BC103" i="2"/>
  <c r="BL26" i="2"/>
  <c r="BG26" i="2"/>
  <c r="BQ26" i="2"/>
  <c r="BB26" i="2"/>
  <c r="BV26" i="2"/>
  <c r="AW50" i="3"/>
  <c r="BH58" i="2"/>
  <c r="BM58" i="2"/>
  <c r="BR58" i="2"/>
  <c r="BC58" i="2"/>
  <c r="BW58" i="2"/>
  <c r="BV33" i="2"/>
  <c r="BG33" i="2"/>
  <c r="BQ33" i="2"/>
  <c r="BL33" i="2"/>
  <c r="BB33" i="2"/>
  <c r="D32" i="4"/>
  <c r="AW5" i="3" s="1"/>
  <c r="D660" i="4"/>
  <c r="BH38" i="2"/>
  <c r="D662" i="4"/>
  <c r="D659" i="4"/>
  <c r="D663" i="4"/>
  <c r="BW38" i="2"/>
  <c r="BC38" i="2"/>
  <c r="D661" i="4"/>
  <c r="D658" i="4"/>
  <c r="BV92" i="2"/>
  <c r="BL92" i="2"/>
  <c r="BB92" i="2"/>
  <c r="BG92" i="2"/>
  <c r="BQ92" i="2"/>
  <c r="BG28" i="2"/>
  <c r="BB28" i="2"/>
  <c r="BV28" i="2"/>
  <c r="BL28" i="2"/>
  <c r="BQ28" i="2"/>
  <c r="BG22" i="2"/>
  <c r="BQ22" i="2"/>
  <c r="BB22" i="2"/>
  <c r="BL22" i="2"/>
  <c r="BV22" i="2"/>
  <c r="D106" i="4"/>
  <c r="D105" i="4"/>
  <c r="D107" i="4"/>
  <c r="D104" i="4"/>
  <c r="D108" i="4"/>
  <c r="D109" i="4"/>
  <c r="AW48" i="3"/>
  <c r="BH90" i="2"/>
  <c r="BM90" i="2"/>
  <c r="BC90" i="2"/>
  <c r="BR90" i="2"/>
  <c r="BW90" i="2"/>
  <c r="BQ93" i="2"/>
  <c r="BL93" i="2"/>
  <c r="BB93" i="2"/>
  <c r="BV93" i="2"/>
  <c r="BG93" i="2"/>
  <c r="BB98" i="2"/>
  <c r="BQ98" i="2"/>
  <c r="BV98" i="2"/>
  <c r="BG98" i="2"/>
  <c r="BL98" i="2"/>
  <c r="D1872" i="4"/>
  <c r="AW98" i="2" s="1"/>
  <c r="BG25" i="2"/>
  <c r="BL25" i="2"/>
  <c r="BV25" i="2"/>
  <c r="BB25" i="2"/>
  <c r="BQ25" i="2"/>
  <c r="BW36" i="2"/>
  <c r="BM36" i="2"/>
  <c r="BR36" i="2"/>
  <c r="BH36" i="2"/>
  <c r="BC36" i="2"/>
  <c r="E1648" i="4"/>
  <c r="AX97" i="2" s="1"/>
  <c r="D1648" i="4"/>
  <c r="D304" i="4"/>
  <c r="D305" i="4"/>
  <c r="D307" i="4"/>
  <c r="D306" i="4"/>
  <c r="D303" i="4"/>
  <c r="D302" i="4"/>
  <c r="BH35" i="2"/>
  <c r="BR35" i="2"/>
  <c r="BM35" i="2"/>
  <c r="BC35" i="2"/>
  <c r="BW35" i="2"/>
  <c r="BQ42" i="2"/>
  <c r="BG42" i="2"/>
  <c r="BL42" i="2"/>
  <c r="BB42" i="2"/>
  <c r="D1800" i="4"/>
  <c r="AW42" i="2" s="1"/>
  <c r="BV42" i="2"/>
  <c r="D1237" i="4"/>
  <c r="D1235" i="4"/>
  <c r="D1239" i="4"/>
  <c r="AX78" i="3"/>
  <c r="D1236" i="4"/>
  <c r="D1238" i="4"/>
  <c r="AW78" i="3"/>
  <c r="D1728" i="4"/>
  <c r="BG86" i="2"/>
  <c r="BB86" i="2"/>
  <c r="BL86" i="2"/>
  <c r="BQ86" i="2"/>
  <c r="BV86" i="2"/>
  <c r="BB73" i="2"/>
  <c r="BQ73" i="2"/>
  <c r="BV73" i="2"/>
  <c r="AW73" i="2"/>
  <c r="BG73" i="2"/>
  <c r="BL73" i="2"/>
  <c r="AW4" i="3"/>
  <c r="BB6" i="2"/>
  <c r="BV6" i="2"/>
  <c r="AW6" i="2"/>
  <c r="BG6" i="2"/>
  <c r="B1231" i="4"/>
  <c r="B1230" i="4"/>
  <c r="B1663" i="4"/>
  <c r="B1662" i="4"/>
  <c r="B1428" i="4"/>
  <c r="B1429" i="4"/>
  <c r="B1320" i="4"/>
  <c r="B1321" i="4"/>
  <c r="B1176" i="4"/>
  <c r="B1177" i="4"/>
  <c r="B673" i="4"/>
  <c r="B672" i="4"/>
  <c r="B1104" i="4"/>
  <c r="B1105" i="4"/>
  <c r="B317" i="4"/>
  <c r="B316" i="4"/>
  <c r="B1356" i="4"/>
  <c r="B1357" i="4"/>
  <c r="B1086" i="4"/>
  <c r="B1087" i="4"/>
  <c r="B1249" i="4"/>
  <c r="B1248" i="4"/>
  <c r="B405" i="4"/>
  <c r="B404" i="4"/>
  <c r="B1886" i="4"/>
  <c r="B1887" i="4"/>
  <c r="B64" i="4"/>
  <c r="B65" i="4"/>
  <c r="B539" i="4"/>
  <c r="B538" i="4"/>
  <c r="B1339" i="4"/>
  <c r="B1338" i="4"/>
  <c r="B996" i="4"/>
  <c r="B997" i="4"/>
  <c r="B1285" i="4"/>
  <c r="B1284" i="4"/>
  <c r="B600" i="4"/>
  <c r="B601" i="4"/>
  <c r="B1536" i="4"/>
  <c r="B1537" i="4"/>
  <c r="B119" i="4"/>
  <c r="B118" i="4"/>
  <c r="B978" i="4"/>
  <c r="B979" i="4"/>
  <c r="B348" i="4"/>
  <c r="B347" i="4"/>
  <c r="B1518" i="4"/>
  <c r="B1519" i="4"/>
  <c r="B1069" i="4"/>
  <c r="B1068" i="4"/>
  <c r="B816" i="4"/>
  <c r="B817" i="4"/>
  <c r="B1681" i="4"/>
  <c r="B1680" i="4"/>
  <c r="B1411" i="4"/>
  <c r="B1410" i="4"/>
  <c r="B334" i="4"/>
  <c r="B335" i="4"/>
  <c r="B101" i="4"/>
  <c r="B100" i="4"/>
  <c r="B1609" i="4"/>
  <c r="B1608" i="4"/>
  <c r="B281" i="4"/>
  <c r="B280" i="4"/>
  <c r="B1904" i="4"/>
  <c r="B1905" i="4"/>
  <c r="B155" i="4"/>
  <c r="B154" i="4"/>
  <c r="B709" i="4"/>
  <c r="B708" i="4"/>
  <c r="B745" i="4"/>
  <c r="B744" i="4"/>
  <c r="B83" i="4"/>
  <c r="B82" i="4"/>
  <c r="B834" i="4"/>
  <c r="B835" i="4"/>
  <c r="B1447" i="4"/>
  <c r="B1446" i="4"/>
  <c r="B1375" i="4"/>
  <c r="B1374" i="4"/>
  <c r="B521" i="4"/>
  <c r="B520" i="4"/>
  <c r="B1159" i="4"/>
  <c r="B1158" i="4"/>
  <c r="B942" i="4"/>
  <c r="B943" i="4"/>
  <c r="B1707" i="4"/>
  <c r="B1706" i="4"/>
  <c r="B1212" i="4"/>
  <c r="B1213" i="4"/>
  <c r="B961" i="4"/>
  <c r="B960" i="4"/>
  <c r="B1500" i="4"/>
  <c r="B1501" i="4"/>
  <c r="B191" i="4"/>
  <c r="B190" i="4"/>
  <c r="B727" i="4"/>
  <c r="B726" i="4"/>
  <c r="B582" i="4"/>
  <c r="B583" i="4"/>
  <c r="B925" i="4"/>
  <c r="B924" i="4"/>
  <c r="B1923" i="4"/>
  <c r="B1922" i="4"/>
  <c r="B1742" i="4"/>
  <c r="B1743" i="4"/>
  <c r="B1724" i="4"/>
  <c r="B1725" i="4"/>
  <c r="B46" i="4"/>
  <c r="B47" i="4"/>
  <c r="B263" i="4"/>
  <c r="B262" i="4"/>
  <c r="B361" i="4"/>
  <c r="B360" i="4"/>
  <c r="B1123" i="4"/>
  <c r="B1122" i="4"/>
  <c r="B799" i="4"/>
  <c r="B798" i="4"/>
  <c r="B1051" i="4"/>
  <c r="B1050" i="4"/>
  <c r="B1693" i="4"/>
  <c r="B1694" i="4"/>
  <c r="B1869" i="4"/>
  <c r="B1868" i="4"/>
  <c r="B1572" i="4"/>
  <c r="B1573" i="4"/>
  <c r="B906" i="4"/>
  <c r="B907" i="4"/>
  <c r="B871" i="4"/>
  <c r="B870" i="4"/>
  <c r="B418" i="4"/>
  <c r="B417" i="4"/>
  <c r="B552" i="4"/>
  <c r="B551" i="4"/>
  <c r="B489" i="4"/>
  <c r="B490" i="4"/>
  <c r="B1626" i="4"/>
  <c r="B1627" i="4"/>
  <c r="B1032" i="4"/>
  <c r="B1033" i="4"/>
  <c r="B29" i="4"/>
  <c r="B28" i="4"/>
  <c r="B619" i="4"/>
  <c r="B618" i="4"/>
  <c r="B1141" i="4"/>
  <c r="B1140" i="4"/>
  <c r="B1645" i="4"/>
  <c r="B1644" i="4"/>
  <c r="B1483" i="4"/>
  <c r="B1482" i="4"/>
  <c r="B690" i="4"/>
  <c r="B691" i="4"/>
  <c r="B654" i="4"/>
  <c r="B655" i="4"/>
  <c r="B1267" i="4"/>
  <c r="B1266" i="4"/>
  <c r="B888" i="4"/>
  <c r="B889" i="4"/>
  <c r="B298" i="4"/>
  <c r="B299" i="4"/>
  <c r="B1194" i="4"/>
  <c r="B1195" i="4"/>
  <c r="B1393" i="4"/>
  <c r="B1392" i="4"/>
  <c r="B471" i="4"/>
  <c r="B472" i="4"/>
  <c r="B503" i="4"/>
  <c r="B502" i="4"/>
  <c r="B570" i="4"/>
  <c r="B569" i="4"/>
  <c r="B379" i="4"/>
  <c r="B378" i="4"/>
  <c r="B1464" i="4"/>
  <c r="B1465" i="4"/>
  <c r="B244" i="4"/>
  <c r="B245" i="4"/>
  <c r="B1303" i="4"/>
  <c r="B1302" i="4"/>
  <c r="B1797" i="4"/>
  <c r="B1796" i="4"/>
  <c r="B853" i="4"/>
  <c r="B852" i="4"/>
  <c r="B1779" i="4"/>
  <c r="B1778" i="4"/>
  <c r="B762" i="4"/>
  <c r="B763" i="4"/>
  <c r="B136" i="4"/>
  <c r="B137" i="4"/>
  <c r="B1760" i="4"/>
  <c r="B1761" i="4"/>
  <c r="B1591" i="4"/>
  <c r="B1590" i="4"/>
  <c r="B227" i="4"/>
  <c r="B226" i="4"/>
  <c r="B435" i="4"/>
  <c r="B436" i="4"/>
  <c r="B454" i="4"/>
  <c r="B453" i="4"/>
  <c r="B780" i="4"/>
  <c r="B781" i="4"/>
  <c r="B1555" i="4"/>
  <c r="B1554" i="4"/>
  <c r="B391" i="4"/>
  <c r="B392" i="4"/>
  <c r="B172" i="4"/>
  <c r="B173" i="4"/>
  <c r="B1015" i="4"/>
  <c r="B1014" i="4"/>
  <c r="B637" i="4"/>
  <c r="B636" i="4"/>
  <c r="D212" i="4" l="1"/>
  <c r="AW19" i="2" s="1"/>
  <c r="Q896" i="4"/>
  <c r="Q897" i="4"/>
  <c r="Q893" i="4"/>
  <c r="Q892" i="4"/>
  <c r="Q894" i="4"/>
  <c r="Q895" i="4"/>
  <c r="Q1001" i="4"/>
  <c r="S1001" i="4" s="1"/>
  <c r="Q1005" i="4"/>
  <c r="Q1000" i="4"/>
  <c r="Q1003" i="4"/>
  <c r="S1003" i="4" s="1"/>
  <c r="Q1004" i="4"/>
  <c r="S1004" i="4" s="1"/>
  <c r="Q1002" i="4"/>
  <c r="S1002" i="4" s="1"/>
  <c r="Q1059" i="4"/>
  <c r="S1059" i="4" s="1"/>
  <c r="Q1055" i="4"/>
  <c r="S1055" i="4" s="1"/>
  <c r="Q1057" i="4"/>
  <c r="S1057" i="4" s="1"/>
  <c r="Q1056" i="4"/>
  <c r="Q1054" i="4"/>
  <c r="Q1058" i="4"/>
  <c r="V1075" i="4"/>
  <c r="BL70" i="2" s="1"/>
  <c r="U1075" i="4"/>
  <c r="BL55" i="2" s="1"/>
  <c r="V984" i="4"/>
  <c r="BG80" i="2" s="1"/>
  <c r="U984" i="4"/>
  <c r="V985" i="4"/>
  <c r="BL80" i="2" s="1"/>
  <c r="U985" i="4"/>
  <c r="U1018" i="4"/>
  <c r="V1018" i="4"/>
  <c r="AW82" i="2" s="1"/>
  <c r="V1616" i="4"/>
  <c r="BQ77" i="2" s="1"/>
  <c r="U1616" i="4"/>
  <c r="BQ62" i="2" s="1"/>
  <c r="S1616" i="4"/>
  <c r="U1039" i="4"/>
  <c r="V1039" i="4"/>
  <c r="BL83" i="2" s="1"/>
  <c r="V1041" i="4"/>
  <c r="BV83" i="2" s="1"/>
  <c r="U1041" i="4"/>
  <c r="U840" i="4"/>
  <c r="V840" i="4"/>
  <c r="BG71" i="2" s="1"/>
  <c r="F212" i="4"/>
  <c r="U1072" i="4"/>
  <c r="V1072" i="4"/>
  <c r="AW70" i="2" s="1"/>
  <c r="U982" i="4"/>
  <c r="V982" i="4"/>
  <c r="AW80" i="2" s="1"/>
  <c r="U986" i="4"/>
  <c r="V986" i="4"/>
  <c r="BQ80" i="2" s="1"/>
  <c r="V1019" i="4"/>
  <c r="BB82" i="2" s="1"/>
  <c r="U1019" i="4"/>
  <c r="BB67" i="2" s="1"/>
  <c r="R1016" i="4" s="1"/>
  <c r="S1617" i="4"/>
  <c r="U1617" i="4"/>
  <c r="BV62" i="2" s="1"/>
  <c r="V1617" i="4"/>
  <c r="BV77" i="2" s="1"/>
  <c r="V1612" i="4"/>
  <c r="AW77" i="2" s="1"/>
  <c r="U1612" i="4"/>
  <c r="AW62" i="2" s="1"/>
  <c r="S1612" i="4"/>
  <c r="V1037" i="4"/>
  <c r="BB83" i="2" s="1"/>
  <c r="U1037" i="4"/>
  <c r="U842" i="4"/>
  <c r="V842" i="4"/>
  <c r="BQ71" i="2" s="1"/>
  <c r="Q879" i="4"/>
  <c r="Q875" i="4"/>
  <c r="Q874" i="4"/>
  <c r="Q876" i="4"/>
  <c r="Q877" i="4"/>
  <c r="Q878" i="4"/>
  <c r="U1076" i="4"/>
  <c r="BQ55" i="2" s="1"/>
  <c r="V1076" i="4"/>
  <c r="BQ70" i="2" s="1"/>
  <c r="V1073" i="4"/>
  <c r="BB70" i="2" s="1"/>
  <c r="U1073" i="4"/>
  <c r="BB55" i="2" s="1"/>
  <c r="R1070" i="4" s="1"/>
  <c r="V987" i="4"/>
  <c r="BV80" i="2" s="1"/>
  <c r="U987" i="4"/>
  <c r="U1020" i="4"/>
  <c r="BG67" i="2" s="1"/>
  <c r="R1017" i="4" s="1"/>
  <c r="V1020" i="4"/>
  <c r="BG82" i="2" s="1"/>
  <c r="U1022" i="4"/>
  <c r="BQ67" i="2" s="1"/>
  <c r="V1022" i="4"/>
  <c r="BQ82" i="2" s="1"/>
  <c r="V1613" i="4"/>
  <c r="BB77" i="2" s="1"/>
  <c r="S1613" i="4"/>
  <c r="U1613" i="4"/>
  <c r="BB62" i="2" s="1"/>
  <c r="S1615" i="4"/>
  <c r="U1615" i="4"/>
  <c r="BL62" i="2" s="1"/>
  <c r="V1615" i="4"/>
  <c r="BL77" i="2" s="1"/>
  <c r="U1036" i="4"/>
  <c r="BV68" i="2" s="1"/>
  <c r="V1036" i="4"/>
  <c r="V843" i="4"/>
  <c r="BV71" i="2" s="1"/>
  <c r="U843" i="4"/>
  <c r="V841" i="4"/>
  <c r="BL71" i="2" s="1"/>
  <c r="U841" i="4"/>
  <c r="S1056" i="4"/>
  <c r="S1054" i="4"/>
  <c r="U1077" i="4"/>
  <c r="BV55" i="2" s="1"/>
  <c r="V1077" i="4"/>
  <c r="BV70" i="2" s="1"/>
  <c r="U1074" i="4"/>
  <c r="BG55" i="2" s="1"/>
  <c r="R1071" i="4" s="1"/>
  <c r="V1074" i="4"/>
  <c r="BG70" i="2" s="1"/>
  <c r="V983" i="4"/>
  <c r="BB80" i="2" s="1"/>
  <c r="U983" i="4"/>
  <c r="V1021" i="4"/>
  <c r="BL82" i="2" s="1"/>
  <c r="U1021" i="4"/>
  <c r="BL67" i="2" s="1"/>
  <c r="V1023" i="4"/>
  <c r="BV82" i="2" s="1"/>
  <c r="U1023" i="4"/>
  <c r="BV67" i="2" s="1"/>
  <c r="S1614" i="4"/>
  <c r="U1614" i="4"/>
  <c r="BG62" i="2" s="1"/>
  <c r="V1614" i="4"/>
  <c r="BG77" i="2" s="1"/>
  <c r="U1038" i="4"/>
  <c r="V1038" i="4"/>
  <c r="V1040" i="4"/>
  <c r="BQ83" i="2" s="1"/>
  <c r="U1040" i="4"/>
  <c r="V839" i="4"/>
  <c r="BB71" i="2" s="1"/>
  <c r="U839" i="4"/>
  <c r="U838" i="4"/>
  <c r="AW55" i="3" s="1"/>
  <c r="V838" i="4"/>
  <c r="AW71" i="2" s="1"/>
  <c r="P52" i="4"/>
  <c r="Q52" i="4" s="1"/>
  <c r="O52" i="4"/>
  <c r="O55" i="4"/>
  <c r="P55" i="4"/>
  <c r="Q55" i="4" s="1"/>
  <c r="R1076" i="4"/>
  <c r="W1076" i="4" s="1"/>
  <c r="O798" i="4"/>
  <c r="O799" i="4"/>
  <c r="Q805" i="4"/>
  <c r="Q804" i="4"/>
  <c r="Q807" i="4"/>
  <c r="Q803" i="4"/>
  <c r="D1289" i="4" s="1"/>
  <c r="Q802" i="4"/>
  <c r="D1288" i="4" s="1"/>
  <c r="AW54" i="3" s="1"/>
  <c r="Q806" i="4"/>
  <c r="P54" i="4"/>
  <c r="Q54" i="4" s="1"/>
  <c r="O54" i="4"/>
  <c r="P53" i="4"/>
  <c r="Q53" i="4"/>
  <c r="O53" i="4"/>
  <c r="O870" i="4"/>
  <c r="O871" i="4"/>
  <c r="W1059" i="4"/>
  <c r="X1059" i="4"/>
  <c r="W1000" i="4"/>
  <c r="X1000" i="4"/>
  <c r="S1000" i="4"/>
  <c r="W1004" i="4"/>
  <c r="BR66" i="2" s="1"/>
  <c r="X1004" i="4"/>
  <c r="O942" i="4"/>
  <c r="O943" i="4"/>
  <c r="W1002" i="4"/>
  <c r="BH66" i="2" s="1"/>
  <c r="X1002" i="4"/>
  <c r="W1057" i="4"/>
  <c r="X1057" i="4"/>
  <c r="W1003" i="4"/>
  <c r="BM66" i="2" s="1"/>
  <c r="X1003" i="4"/>
  <c r="O888" i="4"/>
  <c r="O889" i="4"/>
  <c r="W1058" i="4"/>
  <c r="X1058" i="4"/>
  <c r="R1077" i="4"/>
  <c r="O996" i="4"/>
  <c r="O997" i="4"/>
  <c r="O1050" i="4"/>
  <c r="O1051" i="4"/>
  <c r="W1055" i="4"/>
  <c r="X1055" i="4"/>
  <c r="W1001" i="4"/>
  <c r="BC66" i="2" s="1"/>
  <c r="X1001" i="4"/>
  <c r="W1054" i="4"/>
  <c r="X1054" i="4"/>
  <c r="O960" i="4"/>
  <c r="O961" i="4"/>
  <c r="O906" i="4"/>
  <c r="O907" i="4"/>
  <c r="O924" i="4"/>
  <c r="O925" i="4"/>
  <c r="W1005" i="4"/>
  <c r="BW66" i="2" s="1"/>
  <c r="X1005" i="4"/>
  <c r="S1005" i="4"/>
  <c r="X1056" i="4"/>
  <c r="W1056" i="4"/>
  <c r="R909" i="4"/>
  <c r="O1667" i="4"/>
  <c r="O1668" i="4" s="1"/>
  <c r="Q320" i="4"/>
  <c r="E320" i="4"/>
  <c r="F320" i="4" s="1"/>
  <c r="BC11" i="2"/>
  <c r="BM11" i="2"/>
  <c r="F71" i="4"/>
  <c r="BH11" i="2"/>
  <c r="F70" i="4"/>
  <c r="BW11" i="2"/>
  <c r="F73" i="4"/>
  <c r="BR11" i="2"/>
  <c r="F72" i="4"/>
  <c r="AW86" i="2"/>
  <c r="AW71" i="3"/>
  <c r="BQ40" i="2"/>
  <c r="F698" i="4"/>
  <c r="AW30" i="3"/>
  <c r="AW26" i="2"/>
  <c r="BQ37" i="2"/>
  <c r="F644" i="4"/>
  <c r="AX43" i="3"/>
  <c r="AX38" i="2"/>
  <c r="BB103" i="2"/>
  <c r="F1783" i="4"/>
  <c r="AW17" i="3"/>
  <c r="AW20" i="2"/>
  <c r="BL46" i="2"/>
  <c r="F715" i="4"/>
  <c r="BV99" i="2"/>
  <c r="F1671" i="4"/>
  <c r="AW41" i="2"/>
  <c r="F1746" i="4"/>
  <c r="BB57" i="2"/>
  <c r="R854" i="4" s="1"/>
  <c r="BQ101" i="2"/>
  <c r="BV35" i="2"/>
  <c r="F609" i="4"/>
  <c r="BG35" i="2"/>
  <c r="F606" i="4"/>
  <c r="BQ97" i="2"/>
  <c r="F1652" i="4"/>
  <c r="F1650" i="4"/>
  <c r="BG97" i="2"/>
  <c r="BG90" i="2"/>
  <c r="F1164" i="4"/>
  <c r="F660" i="4"/>
  <c r="BG38" i="2"/>
  <c r="BQ103" i="2"/>
  <c r="F1786" i="4"/>
  <c r="BG34" i="2"/>
  <c r="F588" i="4"/>
  <c r="F1715" i="4"/>
  <c r="BV100" i="2"/>
  <c r="AW22" i="3"/>
  <c r="AW23" i="2"/>
  <c r="F1668" i="4"/>
  <c r="BG99" i="2"/>
  <c r="BQ41" i="2"/>
  <c r="F1750" i="4"/>
  <c r="BG41" i="2"/>
  <c r="F1748" i="4"/>
  <c r="BL68" i="2"/>
  <c r="F1766" i="4"/>
  <c r="BG102" i="2"/>
  <c r="BB97" i="2"/>
  <c r="F1649" i="4"/>
  <c r="AW43" i="3"/>
  <c r="F658" i="4"/>
  <c r="AW38" i="2"/>
  <c r="AW103" i="2"/>
  <c r="F1782" i="4"/>
  <c r="AW61" i="2"/>
  <c r="R925" i="4" s="1"/>
  <c r="R928" i="4" s="1"/>
  <c r="AW60" i="3"/>
  <c r="AW56" i="3"/>
  <c r="AW57" i="2"/>
  <c r="R853" i="4" s="1"/>
  <c r="AX66" i="2"/>
  <c r="BV97" i="2"/>
  <c r="F1653" i="4"/>
  <c r="BL34" i="2"/>
  <c r="F589" i="4"/>
  <c r="AX42" i="3"/>
  <c r="AX37" i="2"/>
  <c r="BL57" i="2"/>
  <c r="AW76" i="3"/>
  <c r="AW92" i="2"/>
  <c r="AW40" i="3"/>
  <c r="AW35" i="2"/>
  <c r="F604" i="4"/>
  <c r="AW40" i="2"/>
  <c r="AW45" i="3"/>
  <c r="F694" i="4"/>
  <c r="AW29" i="3"/>
  <c r="AW25" i="2"/>
  <c r="BQ90" i="2"/>
  <c r="F1166" i="4"/>
  <c r="BG103" i="2"/>
  <c r="F1784" i="4"/>
  <c r="BQ34" i="2"/>
  <c r="F590" i="4"/>
  <c r="F716" i="4"/>
  <c r="BQ46" i="2"/>
  <c r="BB35" i="2"/>
  <c r="F605" i="4"/>
  <c r="BV40" i="2"/>
  <c r="F699" i="4"/>
  <c r="BG40" i="2"/>
  <c r="F696" i="4"/>
  <c r="F1648" i="4"/>
  <c r="AW97" i="2"/>
  <c r="AX36" i="2"/>
  <c r="AX41" i="3"/>
  <c r="AW74" i="3"/>
  <c r="AW90" i="2"/>
  <c r="F1162" i="4"/>
  <c r="AX39" i="3"/>
  <c r="AX34" i="2"/>
  <c r="BB46" i="2"/>
  <c r="F713" i="4"/>
  <c r="AX46" i="3"/>
  <c r="AX46" i="2"/>
  <c r="BB99" i="2"/>
  <c r="F1667" i="4"/>
  <c r="F641" i="4"/>
  <c r="BB37" i="2"/>
  <c r="AW31" i="3"/>
  <c r="AW27" i="2"/>
  <c r="BQ102" i="2"/>
  <c r="F1768" i="4"/>
  <c r="BV57" i="2"/>
  <c r="BQ35" i="2"/>
  <c r="F608" i="4"/>
  <c r="BB90" i="2"/>
  <c r="F1163" i="4"/>
  <c r="AW39" i="3"/>
  <c r="AW34" i="2"/>
  <c r="F586" i="4"/>
  <c r="F1713" i="4"/>
  <c r="BL100" i="2"/>
  <c r="AW70" i="3"/>
  <c r="AW85" i="2"/>
  <c r="AW99" i="2"/>
  <c r="F1666" i="4"/>
  <c r="AW42" i="3"/>
  <c r="AW37" i="2"/>
  <c r="F640" i="4"/>
  <c r="AW102" i="2"/>
  <c r="F1764" i="4"/>
  <c r="BG101" i="2"/>
  <c r="BV90" i="2"/>
  <c r="F1167" i="4"/>
  <c r="BL90" i="2"/>
  <c r="F1165" i="4"/>
  <c r="BQ38" i="2"/>
  <c r="F662" i="4"/>
  <c r="F1711" i="4"/>
  <c r="BB100" i="2"/>
  <c r="BQ99" i="2"/>
  <c r="F1670" i="4"/>
  <c r="BL41" i="2"/>
  <c r="F1749" i="4"/>
  <c r="BL101" i="2"/>
  <c r="AX6" i="3"/>
  <c r="AX10" i="2"/>
  <c r="BV101" i="2"/>
  <c r="BL40" i="2"/>
  <c r="F697" i="4"/>
  <c r="AW19" i="3"/>
  <c r="AW22" i="2"/>
  <c r="AW65" i="3"/>
  <c r="AW67" i="2"/>
  <c r="R1015" i="4" s="1"/>
  <c r="AW18" i="3"/>
  <c r="AW21" i="2"/>
  <c r="AW16" i="3"/>
  <c r="AW18" i="2"/>
  <c r="BV46" i="2"/>
  <c r="F717" i="4"/>
  <c r="AW25" i="3"/>
  <c r="AW5" i="2"/>
  <c r="AX44" i="3"/>
  <c r="AX39" i="2"/>
  <c r="BQ68" i="2"/>
  <c r="F645" i="4"/>
  <c r="BV37" i="2"/>
  <c r="AX40" i="2"/>
  <c r="AX45" i="3"/>
  <c r="BL97" i="2"/>
  <c r="F1651" i="4"/>
  <c r="AX90" i="2"/>
  <c r="AX74" i="3"/>
  <c r="BV38" i="2"/>
  <c r="F663" i="4"/>
  <c r="AX57" i="3"/>
  <c r="AX58" i="2"/>
  <c r="AX10" i="3"/>
  <c r="AX15" i="2"/>
  <c r="F1747" i="4"/>
  <c r="BB41" i="2"/>
  <c r="BG57" i="2"/>
  <c r="R855" i="4" s="1"/>
  <c r="AW101" i="2"/>
  <c r="F1728" i="4"/>
  <c r="AW77" i="3"/>
  <c r="AW93" i="2"/>
  <c r="BB38" i="2"/>
  <c r="F659" i="4"/>
  <c r="AW100" i="2"/>
  <c r="F1710" i="4"/>
  <c r="F714" i="4"/>
  <c r="BG46" i="2"/>
  <c r="F1765" i="4"/>
  <c r="BB102" i="2"/>
  <c r="BG37" i="2"/>
  <c r="F642" i="4"/>
  <c r="BV102" i="2"/>
  <c r="F1769" i="4"/>
  <c r="AX40" i="3"/>
  <c r="AX35" i="2"/>
  <c r="BL38" i="2"/>
  <c r="F661" i="4"/>
  <c r="AW32" i="3"/>
  <c r="AW28" i="2"/>
  <c r="AW37" i="3"/>
  <c r="AW33" i="2"/>
  <c r="BV103" i="2"/>
  <c r="F1787" i="4"/>
  <c r="BV34" i="2"/>
  <c r="F591" i="4"/>
  <c r="BQ100" i="2"/>
  <c r="F1714" i="4"/>
  <c r="AW15" i="3"/>
  <c r="AW17" i="2"/>
  <c r="BB101" i="2"/>
  <c r="BL35" i="2"/>
  <c r="F607" i="4"/>
  <c r="BB40" i="2"/>
  <c r="F695" i="4"/>
  <c r="BL103" i="2"/>
  <c r="F1785" i="4"/>
  <c r="F587" i="4"/>
  <c r="BB34" i="2"/>
  <c r="F1712" i="4"/>
  <c r="BG100" i="2"/>
  <c r="AW46" i="3"/>
  <c r="F712" i="4"/>
  <c r="AW46" i="2"/>
  <c r="BL99" i="2"/>
  <c r="F1669" i="4"/>
  <c r="BV41" i="2"/>
  <c r="F1751" i="4"/>
  <c r="BL37" i="2"/>
  <c r="F643" i="4"/>
  <c r="BL102" i="2"/>
  <c r="F1767" i="4"/>
  <c r="BQ57" i="2"/>
  <c r="AW8" i="3"/>
  <c r="AW75" i="3"/>
  <c r="BG4" i="2"/>
  <c r="AW4" i="2"/>
  <c r="AW41" i="3"/>
  <c r="BL4" i="2"/>
  <c r="BV4" i="2"/>
  <c r="AW63" i="3"/>
  <c r="AW6" i="3"/>
  <c r="AW44" i="3"/>
  <c r="BQ4" i="2"/>
  <c r="AW49" i="3"/>
  <c r="AW73" i="3"/>
  <c r="AW72" i="3"/>
  <c r="BB4" i="2"/>
  <c r="AW68" i="2" l="1"/>
  <c r="BB68" i="2"/>
  <c r="AW66" i="3"/>
  <c r="BG68" i="2"/>
  <c r="R1073" i="4"/>
  <c r="W1073" i="4" s="1"/>
  <c r="S806" i="4"/>
  <c r="D824" i="4" s="1"/>
  <c r="V1058" i="4"/>
  <c r="BQ84" i="2" s="1"/>
  <c r="U1058" i="4"/>
  <c r="BQ69" i="2" s="1"/>
  <c r="V1059" i="4"/>
  <c r="BV84" i="2" s="1"/>
  <c r="U1059" i="4"/>
  <c r="BV69" i="2" s="1"/>
  <c r="V913" i="4"/>
  <c r="U913" i="4"/>
  <c r="BL60" i="2" s="1"/>
  <c r="D877" i="4"/>
  <c r="U877" i="4"/>
  <c r="V877" i="4"/>
  <c r="V879" i="4"/>
  <c r="U879" i="4"/>
  <c r="V947" i="4"/>
  <c r="U947" i="4"/>
  <c r="BB63" i="2" s="1"/>
  <c r="R944" i="4" s="1"/>
  <c r="U1000" i="4"/>
  <c r="F1000" i="4" s="1"/>
  <c r="V1000" i="4"/>
  <c r="V894" i="4"/>
  <c r="U894" i="4"/>
  <c r="BG59" i="2" s="1"/>
  <c r="R891" i="4" s="1"/>
  <c r="U895" i="4"/>
  <c r="BL59" i="2" s="1"/>
  <c r="V895" i="4"/>
  <c r="U965" i="4"/>
  <c r="BB64" i="2" s="1"/>
  <c r="V965" i="4"/>
  <c r="V966" i="4"/>
  <c r="U966" i="4"/>
  <c r="BG64" i="2" s="1"/>
  <c r="S1076" i="4"/>
  <c r="V1055" i="4"/>
  <c r="BB84" i="2" s="1"/>
  <c r="U1055" i="4"/>
  <c r="BB69" i="2" s="1"/>
  <c r="R1052" i="4" s="1"/>
  <c r="U914" i="4"/>
  <c r="BQ60" i="2" s="1"/>
  <c r="V914" i="4"/>
  <c r="D878" i="4"/>
  <c r="V878" i="4"/>
  <c r="U878" i="4"/>
  <c r="D875" i="4"/>
  <c r="V875" i="4"/>
  <c r="U875" i="4"/>
  <c r="V948" i="4"/>
  <c r="U948" i="4"/>
  <c r="V1004" i="4"/>
  <c r="U1004" i="4"/>
  <c r="BQ66" i="2" s="1"/>
  <c r="U896" i="4"/>
  <c r="BQ59" i="2" s="1"/>
  <c r="V896" i="4"/>
  <c r="U897" i="4"/>
  <c r="BV59" i="2" s="1"/>
  <c r="V897" i="4"/>
  <c r="V964" i="4"/>
  <c r="AW79" i="2" s="1"/>
  <c r="U964" i="4"/>
  <c r="U967" i="4"/>
  <c r="BL64" i="2" s="1"/>
  <c r="V967" i="4"/>
  <c r="R1074" i="4"/>
  <c r="X1074" i="4" s="1"/>
  <c r="R1075" i="4"/>
  <c r="S805" i="4"/>
  <c r="D823" i="4" s="1"/>
  <c r="U1056" i="4"/>
  <c r="BG69" i="2" s="1"/>
  <c r="R1053" i="4" s="1"/>
  <c r="V1056" i="4"/>
  <c r="BG84" i="2" s="1"/>
  <c r="U1057" i="4"/>
  <c r="BL69" i="2" s="1"/>
  <c r="V1057" i="4"/>
  <c r="BL84" i="2" s="1"/>
  <c r="V915" i="4"/>
  <c r="U915" i="4"/>
  <c r="BV60" i="2" s="1"/>
  <c r="V912" i="4"/>
  <c r="U912" i="4"/>
  <c r="BG60" i="2" s="1"/>
  <c r="D874" i="4"/>
  <c r="V874" i="4"/>
  <c r="U874" i="4"/>
  <c r="V949" i="4"/>
  <c r="U949" i="4"/>
  <c r="U951" i="4"/>
  <c r="V951" i="4"/>
  <c r="U1005" i="4"/>
  <c r="BV66" i="2" s="1"/>
  <c r="V1005" i="4"/>
  <c r="V1002" i="4"/>
  <c r="U1002" i="4"/>
  <c r="BG66" i="2" s="1"/>
  <c r="R999" i="4" s="1"/>
  <c r="U893" i="4"/>
  <c r="BB59" i="2" s="1"/>
  <c r="R890" i="4" s="1"/>
  <c r="V893" i="4"/>
  <c r="V968" i="4"/>
  <c r="U968" i="4"/>
  <c r="BQ64" i="2" s="1"/>
  <c r="S1058" i="4"/>
  <c r="R1072" i="4"/>
  <c r="X1072" i="4" s="1"/>
  <c r="S804" i="4"/>
  <c r="D822" i="4" s="1"/>
  <c r="R804" i="4"/>
  <c r="V1054" i="4"/>
  <c r="AW84" i="2" s="1"/>
  <c r="U1054" i="4"/>
  <c r="U911" i="4"/>
  <c r="BB60" i="2" s="1"/>
  <c r="R908" i="4" s="1"/>
  <c r="V911" i="4"/>
  <c r="U910" i="4"/>
  <c r="V910" i="4"/>
  <c r="D876" i="4"/>
  <c r="U876" i="4"/>
  <c r="V876" i="4"/>
  <c r="V950" i="4"/>
  <c r="U950" i="4"/>
  <c r="U946" i="4"/>
  <c r="V946" i="4"/>
  <c r="AW78" i="2" s="1"/>
  <c r="V1001" i="4"/>
  <c r="U1001" i="4"/>
  <c r="BB66" i="2" s="1"/>
  <c r="R998" i="4" s="1"/>
  <c r="U1003" i="4"/>
  <c r="V1003" i="4"/>
  <c r="V892" i="4"/>
  <c r="U892" i="4"/>
  <c r="AY19" i="2"/>
  <c r="H212" i="4"/>
  <c r="U969" i="4"/>
  <c r="BV64" i="2" s="1"/>
  <c r="V969" i="4"/>
  <c r="R929" i="4"/>
  <c r="W929" i="4" s="1"/>
  <c r="R930" i="4"/>
  <c r="X930" i="4" s="1"/>
  <c r="R932" i="4"/>
  <c r="X1076" i="4"/>
  <c r="R933" i="4"/>
  <c r="W933" i="4" s="1"/>
  <c r="F627" i="4"/>
  <c r="F1005" i="4"/>
  <c r="H1005" i="4" s="1"/>
  <c r="BZ66" i="2" s="1"/>
  <c r="W928" i="4"/>
  <c r="X928" i="4"/>
  <c r="R931" i="4"/>
  <c r="X929" i="4"/>
  <c r="W932" i="4"/>
  <c r="X932" i="4"/>
  <c r="AX67" i="3"/>
  <c r="W930" i="4"/>
  <c r="AX64" i="3"/>
  <c r="R859" i="4"/>
  <c r="R861" i="4"/>
  <c r="R860" i="4"/>
  <c r="R856" i="4"/>
  <c r="R857" i="4"/>
  <c r="R858" i="4"/>
  <c r="F1002" i="4"/>
  <c r="H1002" i="4" s="1"/>
  <c r="BK66" i="2" s="1"/>
  <c r="W1077" i="4"/>
  <c r="X1077" i="4"/>
  <c r="S1077" i="4"/>
  <c r="R1023" i="4"/>
  <c r="R1019" i="4"/>
  <c r="R1018" i="4"/>
  <c r="R1021" i="4"/>
  <c r="R1022" i="4"/>
  <c r="R1020" i="4"/>
  <c r="R1035" i="4"/>
  <c r="R1034" i="4"/>
  <c r="R963" i="4"/>
  <c r="R1033" i="4"/>
  <c r="R961" i="4"/>
  <c r="R962" i="4"/>
  <c r="E321" i="4"/>
  <c r="BC23" i="2" s="1"/>
  <c r="AX23" i="2"/>
  <c r="AX22" i="3"/>
  <c r="D321" i="4"/>
  <c r="Q321" i="4"/>
  <c r="O1669" i="4"/>
  <c r="O1670" i="4" s="1"/>
  <c r="H70" i="4"/>
  <c r="BK11" i="2" s="1"/>
  <c r="BI11" i="2"/>
  <c r="BX11" i="2"/>
  <c r="H73" i="4"/>
  <c r="BZ11" i="2" s="1"/>
  <c r="H71" i="4"/>
  <c r="BP11" i="2" s="1"/>
  <c r="BN11" i="2"/>
  <c r="BS11" i="2"/>
  <c r="H72" i="4"/>
  <c r="BU11" i="2" s="1"/>
  <c r="AY39" i="3"/>
  <c r="H586" i="4"/>
  <c r="AY34" i="2"/>
  <c r="BN37" i="2"/>
  <c r="H643" i="4"/>
  <c r="BP37" i="2" s="1"/>
  <c r="BX41" i="2"/>
  <c r="H1751" i="4"/>
  <c r="BZ41" i="2" s="1"/>
  <c r="BD102" i="2"/>
  <c r="H1765" i="4"/>
  <c r="BF102" i="2" s="1"/>
  <c r="BD41" i="2"/>
  <c r="H1747" i="4"/>
  <c r="BF41" i="2" s="1"/>
  <c r="H645" i="4"/>
  <c r="BZ37" i="2" s="1"/>
  <c r="BX37" i="2"/>
  <c r="H1167" i="4"/>
  <c r="BZ90" i="2" s="1"/>
  <c r="BX90" i="2"/>
  <c r="H1667" i="4"/>
  <c r="BD99" i="2"/>
  <c r="BI103" i="2"/>
  <c r="H1784" i="4"/>
  <c r="BK103" i="2" s="1"/>
  <c r="AY45" i="3"/>
  <c r="H694" i="4"/>
  <c r="AY40" i="2"/>
  <c r="BN34" i="2"/>
  <c r="H589" i="4"/>
  <c r="BP34" i="2" s="1"/>
  <c r="BX99" i="2"/>
  <c r="H1671" i="4"/>
  <c r="BS37" i="2"/>
  <c r="H644" i="4"/>
  <c r="BU37" i="2" s="1"/>
  <c r="BX103" i="2"/>
  <c r="H1787" i="4"/>
  <c r="BZ103" i="2" s="1"/>
  <c r="H1728" i="4"/>
  <c r="AY101" i="2"/>
  <c r="BN40" i="2"/>
  <c r="H697" i="4"/>
  <c r="BP40" i="2" s="1"/>
  <c r="H1711" i="4"/>
  <c r="BF100" i="2" s="1"/>
  <c r="BD100" i="2"/>
  <c r="AY99" i="2"/>
  <c r="H1666" i="4"/>
  <c r="S1666" i="4" s="1"/>
  <c r="AY97" i="2"/>
  <c r="H1648" i="4"/>
  <c r="BS41" i="2"/>
  <c r="H1750" i="4"/>
  <c r="BU41" i="2" s="1"/>
  <c r="BX100" i="2"/>
  <c r="H1715" i="4"/>
  <c r="BZ100" i="2" s="1"/>
  <c r="BI38" i="2"/>
  <c r="H660" i="4"/>
  <c r="BK38" i="2" s="1"/>
  <c r="BD90" i="2"/>
  <c r="H1163" i="4"/>
  <c r="BF90" i="2" s="1"/>
  <c r="BI102" i="2"/>
  <c r="H1766" i="4"/>
  <c r="BK102" i="2" s="1"/>
  <c r="H1164" i="4"/>
  <c r="BK90" i="2" s="1"/>
  <c r="BI90" i="2"/>
  <c r="BD103" i="2"/>
  <c r="H1783" i="4"/>
  <c r="BF103" i="2" s="1"/>
  <c r="BX102" i="2"/>
  <c r="H1769" i="4"/>
  <c r="BZ102" i="2" s="1"/>
  <c r="AY74" i="3"/>
  <c r="H1162" i="4"/>
  <c r="AY90" i="2"/>
  <c r="AY40" i="3"/>
  <c r="H604" i="4"/>
  <c r="AY35" i="2"/>
  <c r="H698" i="4"/>
  <c r="BU40" i="2" s="1"/>
  <c r="BS40" i="2"/>
  <c r="BD34" i="2"/>
  <c r="H587" i="4"/>
  <c r="BF34" i="2" s="1"/>
  <c r="CF34" i="2" s="1"/>
  <c r="BN41" i="2"/>
  <c r="H1749" i="4"/>
  <c r="BP41" i="2" s="1"/>
  <c r="H662" i="4"/>
  <c r="BU38" i="2" s="1"/>
  <c r="BS38" i="2"/>
  <c r="AY102" i="2"/>
  <c r="H1764" i="4"/>
  <c r="BS35" i="2"/>
  <c r="H608" i="4"/>
  <c r="BU35" i="2" s="1"/>
  <c r="H713" i="4"/>
  <c r="BF46" i="2" s="1"/>
  <c r="BD46" i="2"/>
  <c r="BX40" i="2"/>
  <c r="H699" i="4"/>
  <c r="BZ40" i="2" s="1"/>
  <c r="BS90" i="2"/>
  <c r="H1166" i="4"/>
  <c r="BU90" i="2" s="1"/>
  <c r="BD97" i="2"/>
  <c r="H1649" i="4"/>
  <c r="BF97" i="2" s="1"/>
  <c r="BI99" i="2"/>
  <c r="H1668" i="4"/>
  <c r="BS103" i="2"/>
  <c r="H1786" i="4"/>
  <c r="BU103" i="2" s="1"/>
  <c r="BX35" i="2"/>
  <c r="H609" i="4"/>
  <c r="BZ35" i="2" s="1"/>
  <c r="BN46" i="2"/>
  <c r="H715" i="4"/>
  <c r="BP46" i="2" s="1"/>
  <c r="AY46" i="3"/>
  <c r="AY46" i="2"/>
  <c r="H712" i="4"/>
  <c r="H591" i="4"/>
  <c r="BZ34" i="2" s="1"/>
  <c r="BX34" i="2"/>
  <c r="BX46" i="2"/>
  <c r="H717" i="4"/>
  <c r="BZ46" i="2" s="1"/>
  <c r="BI41" i="2"/>
  <c r="H1748" i="4"/>
  <c r="BK41" i="2" s="1"/>
  <c r="BN99" i="2"/>
  <c r="H1669" i="4"/>
  <c r="BS102" i="2"/>
  <c r="H1768" i="4"/>
  <c r="BU102" i="2" s="1"/>
  <c r="BI40" i="2"/>
  <c r="H696" i="4"/>
  <c r="BK40" i="2" s="1"/>
  <c r="BX97" i="2"/>
  <c r="H1653" i="4"/>
  <c r="BZ97" i="2" s="1"/>
  <c r="AY43" i="3"/>
  <c r="AY38" i="2"/>
  <c r="H658" i="4"/>
  <c r="H588" i="4"/>
  <c r="BK34" i="2" s="1"/>
  <c r="BI34" i="2"/>
  <c r="H1710" i="4"/>
  <c r="AY100" i="2"/>
  <c r="BN97" i="2"/>
  <c r="H1651" i="4"/>
  <c r="BP97" i="2" s="1"/>
  <c r="BN103" i="2"/>
  <c r="H1785" i="4"/>
  <c r="BP103" i="2" s="1"/>
  <c r="BS100" i="2"/>
  <c r="H1714" i="4"/>
  <c r="BU100" i="2" s="1"/>
  <c r="BN38" i="2"/>
  <c r="H661" i="4"/>
  <c r="BP38" i="2" s="1"/>
  <c r="H642" i="4"/>
  <c r="BK37" i="2" s="1"/>
  <c r="BI37" i="2"/>
  <c r="H659" i="4"/>
  <c r="BF38" i="2" s="1"/>
  <c r="BD38" i="2"/>
  <c r="BX38" i="2"/>
  <c r="H663" i="4"/>
  <c r="BZ38" i="2" s="1"/>
  <c r="BS46" i="2"/>
  <c r="H716" i="4"/>
  <c r="BU46" i="2" s="1"/>
  <c r="H1782" i="4"/>
  <c r="AY103" i="2"/>
  <c r="AY22" i="3"/>
  <c r="H320" i="4"/>
  <c r="S320" i="4" s="1"/>
  <c r="AY23" i="2"/>
  <c r="BI97" i="2"/>
  <c r="H1650" i="4"/>
  <c r="BK97" i="2" s="1"/>
  <c r="BD40" i="2"/>
  <c r="H695" i="4"/>
  <c r="BF40" i="2" s="1"/>
  <c r="BD37" i="2"/>
  <c r="H641" i="4"/>
  <c r="BF37" i="2" s="1"/>
  <c r="CF37" i="2" s="1"/>
  <c r="BI100" i="2"/>
  <c r="H1712" i="4"/>
  <c r="BK100" i="2" s="1"/>
  <c r="H714" i="4"/>
  <c r="BK46" i="2" s="1"/>
  <c r="BI46" i="2"/>
  <c r="BD35" i="2"/>
  <c r="H605" i="4"/>
  <c r="BF35" i="2" s="1"/>
  <c r="BI35" i="2"/>
  <c r="H606" i="4"/>
  <c r="BK35" i="2" s="1"/>
  <c r="BN35" i="2"/>
  <c r="H607" i="4"/>
  <c r="BP35" i="2" s="1"/>
  <c r="BN102" i="2"/>
  <c r="H1767" i="4"/>
  <c r="BP102" i="2" s="1"/>
  <c r="BS99" i="2"/>
  <c r="H1670" i="4"/>
  <c r="BN90" i="2"/>
  <c r="H1165" i="4"/>
  <c r="BP90" i="2" s="1"/>
  <c r="AY42" i="3"/>
  <c r="H640" i="4"/>
  <c r="AY37" i="2"/>
  <c r="BN100" i="2"/>
  <c r="H1713" i="4"/>
  <c r="BP100" i="2" s="1"/>
  <c r="BS34" i="2"/>
  <c r="H590" i="4"/>
  <c r="BU34" i="2" s="1"/>
  <c r="BS97" i="2"/>
  <c r="H1652" i="4"/>
  <c r="BU97" i="2" s="1"/>
  <c r="AY41" i="2"/>
  <c r="H1746" i="4"/>
  <c r="BB48" i="2"/>
  <c r="BV12" i="2"/>
  <c r="AW54" i="2"/>
  <c r="BQ15" i="2"/>
  <c r="F144" i="4"/>
  <c r="BL14" i="2"/>
  <c r="BB12" i="2"/>
  <c r="AW95" i="2"/>
  <c r="BB87" i="2"/>
  <c r="BB88" i="2"/>
  <c r="BB49" i="2"/>
  <c r="BG49" i="2"/>
  <c r="BQ39" i="2"/>
  <c r="F680" i="4"/>
  <c r="F676" i="4"/>
  <c r="AY44" i="3" s="1"/>
  <c r="AW39" i="2"/>
  <c r="BG10" i="2"/>
  <c r="F52" i="4"/>
  <c r="BV65" i="2"/>
  <c r="BQ47" i="2"/>
  <c r="BG47" i="2"/>
  <c r="BV50" i="2"/>
  <c r="BL56" i="2"/>
  <c r="BQ36" i="2"/>
  <c r="F626" i="4"/>
  <c r="AW36" i="2"/>
  <c r="F622" i="4"/>
  <c r="AY41" i="3" s="1"/>
  <c r="BQ91" i="2"/>
  <c r="BG91" i="2"/>
  <c r="BB13" i="2"/>
  <c r="BV13" i="2"/>
  <c r="AW7" i="3"/>
  <c r="AW10" i="3"/>
  <c r="BG95" i="2"/>
  <c r="BV87" i="2"/>
  <c r="BV88" i="2"/>
  <c r="BL88" i="2"/>
  <c r="BV49" i="2"/>
  <c r="BG39" i="2"/>
  <c r="F678" i="4"/>
  <c r="BV10" i="2"/>
  <c r="F55" i="4"/>
  <c r="BL65" i="2"/>
  <c r="BB65" i="2"/>
  <c r="BB47" i="2"/>
  <c r="BL50" i="2"/>
  <c r="BB50" i="2"/>
  <c r="BV56" i="2"/>
  <c r="BB56" i="2"/>
  <c r="BB36" i="2"/>
  <c r="F623" i="4"/>
  <c r="BB91" i="2"/>
  <c r="BV91" i="2"/>
  <c r="BQ13" i="2"/>
  <c r="BG13" i="2"/>
  <c r="AW9" i="3"/>
  <c r="BL87" i="2"/>
  <c r="BV95" i="2"/>
  <c r="BG87" i="2"/>
  <c r="BQ87" i="2"/>
  <c r="BQ88" i="2"/>
  <c r="AW88" i="2"/>
  <c r="BL49" i="2"/>
  <c r="BV39" i="2"/>
  <c r="F681" i="4"/>
  <c r="BQ10" i="2"/>
  <c r="F54" i="4"/>
  <c r="AW10" i="2"/>
  <c r="F50" i="4"/>
  <c r="AY6" i="3" s="1"/>
  <c r="AW65" i="2"/>
  <c r="R979" i="4" s="1"/>
  <c r="BQ65" i="2"/>
  <c r="BV47" i="2"/>
  <c r="AW50" i="2"/>
  <c r="BQ50" i="2"/>
  <c r="AW56" i="2"/>
  <c r="BG56" i="2"/>
  <c r="BG36" i="2"/>
  <c r="F624" i="4"/>
  <c r="BL91" i="2"/>
  <c r="BL13" i="2"/>
  <c r="BQ95" i="2"/>
  <c r="BB95" i="2"/>
  <c r="BL95" i="2"/>
  <c r="AW87" i="2"/>
  <c r="BG88" i="2"/>
  <c r="AW49" i="2"/>
  <c r="BQ49" i="2"/>
  <c r="BB39" i="2"/>
  <c r="F677" i="4"/>
  <c r="BL39" i="2"/>
  <c r="F679" i="4"/>
  <c r="BL10" i="2"/>
  <c r="F53" i="4"/>
  <c r="BG65" i="2"/>
  <c r="R981" i="4" s="1"/>
  <c r="BL47" i="2"/>
  <c r="AW47" i="2"/>
  <c r="BG50" i="2"/>
  <c r="BQ56" i="2"/>
  <c r="BL36" i="2"/>
  <c r="F625" i="4"/>
  <c r="AW91" i="2"/>
  <c r="AW13" i="2"/>
  <c r="W1074" i="4" l="1"/>
  <c r="CF38" i="2"/>
  <c r="CF35" i="2"/>
  <c r="CF40" i="2"/>
  <c r="CF100" i="2"/>
  <c r="BV81" i="2"/>
  <c r="BV74" i="2"/>
  <c r="BL79" i="2"/>
  <c r="BG79" i="2"/>
  <c r="BL81" i="2"/>
  <c r="BL74" i="2"/>
  <c r="BQ81" i="2"/>
  <c r="BQ74" i="2"/>
  <c r="N1631" i="4"/>
  <c r="O1631" i="4" s="1"/>
  <c r="BB81" i="2"/>
  <c r="BB74" i="2"/>
  <c r="S1072" i="4"/>
  <c r="S1074" i="4"/>
  <c r="W1072" i="4"/>
  <c r="R805" i="4"/>
  <c r="D1291" i="4" s="1"/>
  <c r="BL54" i="2" s="1"/>
  <c r="D1290" i="4"/>
  <c r="BG54" i="2" s="1"/>
  <c r="BQ79" i="2"/>
  <c r="BV79" i="2"/>
  <c r="BG81" i="2"/>
  <c r="BG74" i="2"/>
  <c r="F1004" i="4"/>
  <c r="H1004" i="4" s="1"/>
  <c r="BU66" i="2" s="1"/>
  <c r="F1001" i="4"/>
  <c r="H1001" i="4" s="1"/>
  <c r="BF66" i="2" s="1"/>
  <c r="BB75" i="2"/>
  <c r="BG75" i="2"/>
  <c r="BQ75" i="2"/>
  <c r="BL75" i="2"/>
  <c r="BV75" i="2"/>
  <c r="AW75" i="2"/>
  <c r="BG63" i="2"/>
  <c r="R945" i="4" s="1"/>
  <c r="BV63" i="2"/>
  <c r="BB78" i="2"/>
  <c r="BV78" i="2"/>
  <c r="AY66" i="2"/>
  <c r="AY64" i="3"/>
  <c r="H1000" i="4"/>
  <c r="BA66" i="2" s="1"/>
  <c r="X1073" i="4"/>
  <c r="S1073" i="4"/>
  <c r="AW67" i="3"/>
  <c r="AW69" i="2"/>
  <c r="R1051" i="4" s="1"/>
  <c r="AW81" i="2"/>
  <c r="AW74" i="2"/>
  <c r="F877" i="4"/>
  <c r="BL58" i="2"/>
  <c r="AW59" i="2"/>
  <c r="R889" i="4" s="1"/>
  <c r="AW58" i="3"/>
  <c r="F876" i="4"/>
  <c r="BG58" i="2"/>
  <c r="R873" i="4" s="1"/>
  <c r="D805" i="4"/>
  <c r="D806" i="4"/>
  <c r="S807" i="4"/>
  <c r="BL66" i="2"/>
  <c r="F1003" i="4"/>
  <c r="AW63" i="2"/>
  <c r="R943" i="4" s="1"/>
  <c r="AW61" i="3"/>
  <c r="AW58" i="2"/>
  <c r="R871" i="4" s="1"/>
  <c r="AW57" i="3"/>
  <c r="F874" i="4"/>
  <c r="S1075" i="4"/>
  <c r="W1075" i="4"/>
  <c r="X1075" i="4"/>
  <c r="F875" i="4"/>
  <c r="BB58" i="2"/>
  <c r="R872" i="4" s="1"/>
  <c r="BA19" i="2"/>
  <c r="K217" i="4"/>
  <c r="L217" i="4" s="1"/>
  <c r="AW59" i="3"/>
  <c r="AW60" i="2"/>
  <c r="R907" i="4" s="1"/>
  <c r="D879" i="4"/>
  <c r="BQ58" i="2"/>
  <c r="F878" i="4"/>
  <c r="AW64" i="3"/>
  <c r="AW66" i="2"/>
  <c r="R997" i="4" s="1"/>
  <c r="BX66" i="2"/>
  <c r="X933" i="4"/>
  <c r="BV36" i="2"/>
  <c r="X858" i="4"/>
  <c r="W858" i="4"/>
  <c r="W1021" i="4"/>
  <c r="X1021" i="4"/>
  <c r="W856" i="4"/>
  <c r="X856" i="4"/>
  <c r="W1023" i="4"/>
  <c r="X1023" i="4"/>
  <c r="X861" i="4"/>
  <c r="W861" i="4"/>
  <c r="W931" i="4"/>
  <c r="X931" i="4"/>
  <c r="X1022" i="4"/>
  <c r="W1022" i="4"/>
  <c r="X860" i="4"/>
  <c r="W860" i="4"/>
  <c r="BI66" i="2"/>
  <c r="X859" i="4"/>
  <c r="W859" i="4"/>
  <c r="X1020" i="4"/>
  <c r="W1020" i="4"/>
  <c r="X857" i="4"/>
  <c r="W857" i="4"/>
  <c r="W1019" i="4"/>
  <c r="X1019" i="4"/>
  <c r="S858" i="4"/>
  <c r="S857" i="4"/>
  <c r="S856" i="4"/>
  <c r="S860" i="4"/>
  <c r="S861" i="4"/>
  <c r="S859" i="4"/>
  <c r="R967" i="4"/>
  <c r="R969" i="4"/>
  <c r="R964" i="4"/>
  <c r="W964" i="4" s="1"/>
  <c r="R965" i="4"/>
  <c r="R966" i="4"/>
  <c r="R968" i="4"/>
  <c r="S1020" i="4"/>
  <c r="S1022" i="4"/>
  <c r="S1021" i="4"/>
  <c r="X1018" i="4"/>
  <c r="W1018" i="4"/>
  <c r="S1018" i="4"/>
  <c r="S1019" i="4"/>
  <c r="R1037" i="4"/>
  <c r="R1038" i="4"/>
  <c r="R1036" i="4"/>
  <c r="R1040" i="4"/>
  <c r="R1039" i="4"/>
  <c r="R1041" i="4"/>
  <c r="S1023" i="4"/>
  <c r="R836" i="4"/>
  <c r="R837" i="4"/>
  <c r="R835" i="4"/>
  <c r="R980" i="4"/>
  <c r="R983" i="4" s="1"/>
  <c r="O1671" i="4"/>
  <c r="BU99" i="2"/>
  <c r="S1670" i="4"/>
  <c r="BP99" i="2"/>
  <c r="S1669" i="4"/>
  <c r="E323" i="4"/>
  <c r="BM23" i="2" s="1"/>
  <c r="BK99" i="2"/>
  <c r="S1668" i="4"/>
  <c r="D322" i="4"/>
  <c r="Q322" i="4"/>
  <c r="BF99" i="2"/>
  <c r="S1667" i="4"/>
  <c r="D323" i="4"/>
  <c r="E322" i="4"/>
  <c r="BH23" i="2" s="1"/>
  <c r="E324" i="4"/>
  <c r="BR23" i="2" s="1"/>
  <c r="BZ99" i="2"/>
  <c r="S1671" i="4"/>
  <c r="F321" i="4"/>
  <c r="BB23" i="2"/>
  <c r="BA22" i="3"/>
  <c r="BA23" i="2"/>
  <c r="BA100" i="2"/>
  <c r="CB100" i="2" s="1"/>
  <c r="CD100" i="2" s="1"/>
  <c r="K1715" i="4"/>
  <c r="BA43" i="3"/>
  <c r="BA38" i="2"/>
  <c r="CB38" i="2" s="1"/>
  <c r="CD38" i="2" s="1"/>
  <c r="K663" i="4"/>
  <c r="BA102" i="2"/>
  <c r="CB102" i="2" s="1"/>
  <c r="CD102" i="2" s="1"/>
  <c r="K1769" i="4"/>
  <c r="BA39" i="3"/>
  <c r="BA34" i="2"/>
  <c r="CB34" i="2" s="1"/>
  <c r="CD34" i="2" s="1"/>
  <c r="K591" i="4"/>
  <c r="BA41" i="2"/>
  <c r="CB41" i="2" s="1"/>
  <c r="CD41" i="2" s="1"/>
  <c r="K1751" i="4"/>
  <c r="K1653" i="4"/>
  <c r="BA97" i="2"/>
  <c r="CB97" i="2" s="1"/>
  <c r="CD97" i="2" s="1"/>
  <c r="BA103" i="2"/>
  <c r="CB103" i="2" s="1"/>
  <c r="CD103" i="2" s="1"/>
  <c r="K1787" i="4"/>
  <c r="BA101" i="2"/>
  <c r="BA42" i="3"/>
  <c r="BA37" i="2"/>
  <c r="CB37" i="2" s="1"/>
  <c r="CD37" i="2" s="1"/>
  <c r="K645" i="4"/>
  <c r="BA46" i="2"/>
  <c r="CB46" i="2" s="1"/>
  <c r="CD46" i="2" s="1"/>
  <c r="BA46" i="3"/>
  <c r="K717" i="4"/>
  <c r="BA35" i="2"/>
  <c r="CB35" i="2" s="1"/>
  <c r="CD35" i="2" s="1"/>
  <c r="BA40" i="3"/>
  <c r="K609" i="4"/>
  <c r="BA45" i="3"/>
  <c r="BA40" i="2"/>
  <c r="CB40" i="2" s="1"/>
  <c r="CD40" i="2" s="1"/>
  <c r="K699" i="4"/>
  <c r="BA74" i="3"/>
  <c r="BA90" i="2"/>
  <c r="CB90" i="2" s="1"/>
  <c r="CD90" i="2" s="1"/>
  <c r="K1167" i="4"/>
  <c r="BA99" i="2"/>
  <c r="K1671" i="4"/>
  <c r="BG9" i="2"/>
  <c r="BL52" i="2"/>
  <c r="BQ14" i="2"/>
  <c r="BL12" i="2"/>
  <c r="BG48" i="2"/>
  <c r="BD36" i="2"/>
  <c r="H623" i="4"/>
  <c r="BF36" i="2" s="1"/>
  <c r="BI39" i="2"/>
  <c r="H678" i="4"/>
  <c r="BK39" i="2" s="1"/>
  <c r="AW15" i="2"/>
  <c r="F140" i="4"/>
  <c r="AY10" i="3" s="1"/>
  <c r="BQ12" i="2"/>
  <c r="BS39" i="2"/>
  <c r="H680" i="4"/>
  <c r="BU39" i="2" s="1"/>
  <c r="AW52" i="3"/>
  <c r="BN39" i="2"/>
  <c r="H679" i="4"/>
  <c r="BP39" i="2" s="1"/>
  <c r="BG12" i="2"/>
  <c r="BN10" i="2"/>
  <c r="H53" i="4"/>
  <c r="BP10" i="2" s="1"/>
  <c r="BD39" i="2"/>
  <c r="H677" i="4"/>
  <c r="BF39" i="2" s="1"/>
  <c r="BV48" i="2"/>
  <c r="AY10" i="2"/>
  <c r="H50" i="4"/>
  <c r="BA6" i="3" s="1"/>
  <c r="BX39" i="2"/>
  <c r="H681" i="4"/>
  <c r="BZ39" i="2" s="1"/>
  <c r="BB54" i="2"/>
  <c r="BL15" i="2"/>
  <c r="F143" i="4"/>
  <c r="BB14" i="2"/>
  <c r="BI10" i="2"/>
  <c r="H52" i="4"/>
  <c r="BK10" i="2" s="1"/>
  <c r="AY39" i="2"/>
  <c r="H676" i="4"/>
  <c r="BA44" i="3" s="1"/>
  <c r="BL48" i="2"/>
  <c r="BN36" i="2"/>
  <c r="H625" i="4"/>
  <c r="BP36" i="2" s="1"/>
  <c r="BX36" i="2"/>
  <c r="H627" i="4"/>
  <c r="BZ36" i="2" s="1"/>
  <c r="BB15" i="2"/>
  <c r="F141" i="4"/>
  <c r="AW51" i="3"/>
  <c r="BG14" i="2"/>
  <c r="BX10" i="2"/>
  <c r="H55" i="4"/>
  <c r="BZ10" i="2" s="1"/>
  <c r="AW48" i="2"/>
  <c r="AY36" i="2"/>
  <c r="H622" i="4"/>
  <c r="BA41" i="3" s="1"/>
  <c r="BV15" i="2"/>
  <c r="F145" i="4"/>
  <c r="BV14" i="2"/>
  <c r="BI36" i="2"/>
  <c r="H624" i="4"/>
  <c r="BK36" i="2" s="1"/>
  <c r="BS10" i="2"/>
  <c r="H54" i="4"/>
  <c r="BU10" i="2" s="1"/>
  <c r="AW14" i="2"/>
  <c r="BQ48" i="2"/>
  <c r="BG15" i="2"/>
  <c r="F142" i="4"/>
  <c r="AW12" i="2"/>
  <c r="BS36" i="2"/>
  <c r="H626" i="4"/>
  <c r="BU36" i="2" s="1"/>
  <c r="BS15" i="2"/>
  <c r="H144" i="4"/>
  <c r="BU15" i="2" s="1"/>
  <c r="CF90" i="2" l="1"/>
  <c r="CF36" i="2"/>
  <c r="BB79" i="2"/>
  <c r="BA64" i="3"/>
  <c r="R806" i="4"/>
  <c r="D1292" i="4" s="1"/>
  <c r="BQ54" i="2" s="1"/>
  <c r="BD66" i="2"/>
  <c r="BS66" i="2"/>
  <c r="BQ78" i="2"/>
  <c r="N1632" i="4"/>
  <c r="O1632" i="4" s="1"/>
  <c r="BL78" i="2"/>
  <c r="N1635" i="4"/>
  <c r="O1635" i="4" s="1"/>
  <c r="N1634" i="4"/>
  <c r="O1634" i="4" s="1"/>
  <c r="N1633" i="4"/>
  <c r="O1633" i="4" s="1"/>
  <c r="BQ63" i="2"/>
  <c r="BL63" i="2"/>
  <c r="BG78" i="2"/>
  <c r="H878" i="4"/>
  <c r="BU58" i="2" s="1"/>
  <c r="BS58" i="2"/>
  <c r="BD58" i="2"/>
  <c r="H875" i="4"/>
  <c r="BF58" i="2" s="1"/>
  <c r="R877" i="4"/>
  <c r="R878" i="4"/>
  <c r="R876" i="4"/>
  <c r="R879" i="4"/>
  <c r="R875" i="4"/>
  <c r="R874" i="4"/>
  <c r="R912" i="4"/>
  <c r="R913" i="4"/>
  <c r="R915" i="4"/>
  <c r="R911" i="4"/>
  <c r="R910" i="4"/>
  <c r="R914" i="4"/>
  <c r="H1003" i="4"/>
  <c r="BN66" i="2"/>
  <c r="R895" i="4"/>
  <c r="R896" i="4"/>
  <c r="R892" i="4"/>
  <c r="R894" i="4"/>
  <c r="R897" i="4"/>
  <c r="R893" i="4"/>
  <c r="F879" i="4"/>
  <c r="BV58" i="2"/>
  <c r="H874" i="4"/>
  <c r="AY57" i="3"/>
  <c r="AY58" i="2"/>
  <c r="R950" i="4"/>
  <c r="R951" i="4"/>
  <c r="R949" i="4"/>
  <c r="R948" i="4"/>
  <c r="R946" i="4"/>
  <c r="R947" i="4"/>
  <c r="H877" i="4"/>
  <c r="BP58" i="2" s="1"/>
  <c r="BN58" i="2"/>
  <c r="H876" i="4"/>
  <c r="BK58" i="2" s="1"/>
  <c r="BI58" i="2"/>
  <c r="BM57" i="2"/>
  <c r="BW57" i="2"/>
  <c r="BC57" i="2"/>
  <c r="BR57" i="2"/>
  <c r="BH57" i="2"/>
  <c r="X968" i="4"/>
  <c r="W968" i="4"/>
  <c r="W965" i="4"/>
  <c r="X965" i="4"/>
  <c r="X964" i="4"/>
  <c r="W966" i="4"/>
  <c r="X966" i="4"/>
  <c r="X969" i="4"/>
  <c r="W969" i="4"/>
  <c r="W967" i="4"/>
  <c r="X967" i="4"/>
  <c r="S968" i="4"/>
  <c r="S964" i="4"/>
  <c r="S966" i="4"/>
  <c r="S969" i="4"/>
  <c r="S965" i="4"/>
  <c r="S967" i="4"/>
  <c r="W1041" i="4"/>
  <c r="X1041" i="4"/>
  <c r="S1041" i="4"/>
  <c r="X1039" i="4"/>
  <c r="W1039" i="4"/>
  <c r="S1039" i="4"/>
  <c r="R840" i="4"/>
  <c r="R841" i="4"/>
  <c r="R839" i="4"/>
  <c r="R842" i="4"/>
  <c r="R838" i="4"/>
  <c r="R843" i="4"/>
  <c r="W1040" i="4"/>
  <c r="X1040" i="4"/>
  <c r="S1040" i="4"/>
  <c r="X1036" i="4"/>
  <c r="W1036" i="4"/>
  <c r="S1036" i="4"/>
  <c r="W1037" i="4"/>
  <c r="X1037" i="4"/>
  <c r="S1037" i="4"/>
  <c r="W1038" i="4"/>
  <c r="X1038" i="4"/>
  <c r="S1038" i="4"/>
  <c r="R987" i="4"/>
  <c r="S987" i="4" s="1"/>
  <c r="R984" i="4"/>
  <c r="S984" i="4" s="1"/>
  <c r="R982" i="4"/>
  <c r="W982" i="4" s="1"/>
  <c r="R985" i="4"/>
  <c r="R986" i="4"/>
  <c r="S983" i="4"/>
  <c r="F323" i="4"/>
  <c r="BL23" i="2"/>
  <c r="BD23" i="2"/>
  <c r="H321" i="4"/>
  <c r="CB99" i="2"/>
  <c r="CD99" i="2" s="1"/>
  <c r="L1671" i="4" s="1"/>
  <c r="Q323" i="4"/>
  <c r="BG23" i="2"/>
  <c r="F322" i="4"/>
  <c r="E325" i="4"/>
  <c r="BW23" i="2" s="1"/>
  <c r="L1167" i="4"/>
  <c r="L591" i="4"/>
  <c r="L609" i="4"/>
  <c r="L663" i="4"/>
  <c r="L699" i="4"/>
  <c r="L1653" i="4"/>
  <c r="L717" i="4"/>
  <c r="L1715" i="4"/>
  <c r="L645" i="4"/>
  <c r="K681" i="4"/>
  <c r="K627" i="4"/>
  <c r="BB9" i="2"/>
  <c r="BL9" i="2"/>
  <c r="BQ53" i="2"/>
  <c r="F1274" i="4"/>
  <c r="BX15" i="2"/>
  <c r="H145" i="4"/>
  <c r="BZ15" i="2" s="1"/>
  <c r="BB52" i="2"/>
  <c r="BN15" i="2"/>
  <c r="H143" i="4"/>
  <c r="BP15" i="2" s="1"/>
  <c r="BA10" i="2"/>
  <c r="BL53" i="2"/>
  <c r="F1273" i="4"/>
  <c r="BI15" i="2"/>
  <c r="H142" i="4"/>
  <c r="BK15" i="2" s="1"/>
  <c r="BV51" i="2"/>
  <c r="BQ9" i="2"/>
  <c r="BA39" i="2"/>
  <c r="CB39" i="2" s="1"/>
  <c r="CD39" i="2" s="1"/>
  <c r="BV52" i="2"/>
  <c r="BL51" i="2"/>
  <c r="BB51" i="2"/>
  <c r="BB53" i="2"/>
  <c r="F1271" i="4"/>
  <c r="BQ52" i="2"/>
  <c r="BG53" i="2"/>
  <c r="F1272" i="4"/>
  <c r="BG51" i="2"/>
  <c r="BD15" i="2"/>
  <c r="H141" i="4"/>
  <c r="BF15" i="2" s="1"/>
  <c r="BV53" i="2"/>
  <c r="F1275" i="4"/>
  <c r="BG52" i="2"/>
  <c r="AW52" i="2"/>
  <c r="H140" i="4"/>
  <c r="BA10" i="3" s="1"/>
  <c r="AY15" i="2"/>
  <c r="BA36" i="2"/>
  <c r="CB36" i="2" s="1"/>
  <c r="CD36" i="2" s="1"/>
  <c r="AW51" i="2"/>
  <c r="BQ51" i="2"/>
  <c r="AW9" i="2"/>
  <c r="AW53" i="2"/>
  <c r="F1270" i="4"/>
  <c r="G6" i="5"/>
  <c r="AG83" i="3" s="1"/>
  <c r="CF15" i="2" l="1"/>
  <c r="R807" i="4"/>
  <c r="D1293" i="4"/>
  <c r="BV54" i="2" s="1"/>
  <c r="X947" i="4"/>
  <c r="W947" i="4"/>
  <c r="X951" i="4"/>
  <c r="W951" i="4"/>
  <c r="BA57" i="3"/>
  <c r="BA58" i="2"/>
  <c r="X892" i="4"/>
  <c r="W892" i="4"/>
  <c r="BP66" i="2"/>
  <c r="K1005" i="4"/>
  <c r="W915" i="4"/>
  <c r="X915" i="4"/>
  <c r="S875" i="4"/>
  <c r="W875" i="4"/>
  <c r="X875" i="4"/>
  <c r="S877" i="4"/>
  <c r="W877" i="4"/>
  <c r="X877" i="4"/>
  <c r="W949" i="4"/>
  <c r="X949" i="4"/>
  <c r="W894" i="4"/>
  <c r="X894" i="4"/>
  <c r="X911" i="4"/>
  <c r="W911" i="4"/>
  <c r="S874" i="4"/>
  <c r="X874" i="4"/>
  <c r="W874" i="4"/>
  <c r="W878" i="4"/>
  <c r="X878" i="4"/>
  <c r="S878" i="4"/>
  <c r="X948" i="4"/>
  <c r="W948" i="4"/>
  <c r="BX58" i="2"/>
  <c r="H879" i="4"/>
  <c r="BZ58" i="2" s="1"/>
  <c r="CF58" i="2" s="1"/>
  <c r="W897" i="4"/>
  <c r="X897" i="4"/>
  <c r="X895" i="4"/>
  <c r="W895" i="4"/>
  <c r="W910" i="4"/>
  <c r="X910" i="4"/>
  <c r="W912" i="4"/>
  <c r="X912" i="4"/>
  <c r="X876" i="4"/>
  <c r="S876" i="4"/>
  <c r="W876" i="4"/>
  <c r="W946" i="4"/>
  <c r="X946" i="4"/>
  <c r="W950" i="4"/>
  <c r="X950" i="4"/>
  <c r="X893" i="4"/>
  <c r="W893" i="4"/>
  <c r="X896" i="4"/>
  <c r="W896" i="4"/>
  <c r="X914" i="4"/>
  <c r="W914" i="4"/>
  <c r="W913" i="4"/>
  <c r="X913" i="4"/>
  <c r="S879" i="4"/>
  <c r="X879" i="4"/>
  <c r="W879" i="4"/>
  <c r="BW83" i="2"/>
  <c r="F1527" i="4"/>
  <c r="BS57" i="2"/>
  <c r="H860" i="4"/>
  <c r="BU57" i="2" s="1"/>
  <c r="S839" i="4"/>
  <c r="X839" i="4"/>
  <c r="W839" i="4"/>
  <c r="S840" i="4"/>
  <c r="X840" i="4"/>
  <c r="W840" i="4"/>
  <c r="H857" i="4"/>
  <c r="BF57" i="2" s="1"/>
  <c r="BD57" i="2"/>
  <c r="BR83" i="2"/>
  <c r="F1526" i="4"/>
  <c r="BI57" i="2"/>
  <c r="H858" i="4"/>
  <c r="BK57" i="2" s="1"/>
  <c r="BX57" i="2"/>
  <c r="H861" i="4"/>
  <c r="BZ57" i="2" s="1"/>
  <c r="AX83" i="2"/>
  <c r="F1522" i="4"/>
  <c r="BC83" i="2"/>
  <c r="F1523" i="4"/>
  <c r="S843" i="4"/>
  <c r="X843" i="4"/>
  <c r="W843" i="4"/>
  <c r="BM83" i="2"/>
  <c r="F1525" i="4"/>
  <c r="AX56" i="3"/>
  <c r="AX57" i="2"/>
  <c r="S842" i="4"/>
  <c r="W842" i="4"/>
  <c r="X842" i="4"/>
  <c r="S841" i="4"/>
  <c r="X841" i="4"/>
  <c r="W841" i="4"/>
  <c r="BH83" i="2"/>
  <c r="F1524" i="4"/>
  <c r="S838" i="4"/>
  <c r="W838" i="4"/>
  <c r="X838" i="4"/>
  <c r="H856" i="4"/>
  <c r="AY57" i="2"/>
  <c r="AY56" i="3"/>
  <c r="BN57" i="2"/>
  <c r="H859" i="4"/>
  <c r="BP57" i="2" s="1"/>
  <c r="AX63" i="3"/>
  <c r="AX65" i="2"/>
  <c r="F982" i="4"/>
  <c r="BH64" i="2"/>
  <c r="F966" i="4"/>
  <c r="AX64" i="2"/>
  <c r="AX62" i="3"/>
  <c r="BM64" i="2"/>
  <c r="F967" i="4"/>
  <c r="BC64" i="2"/>
  <c r="F965" i="4"/>
  <c r="BW64" i="2"/>
  <c r="F969" i="4"/>
  <c r="BR64" i="2"/>
  <c r="F968" i="4"/>
  <c r="BH68" i="2"/>
  <c r="F1038" i="4"/>
  <c r="BC68" i="2"/>
  <c r="F1037" i="4"/>
  <c r="F1036" i="4"/>
  <c r="AX68" i="2"/>
  <c r="AX66" i="3"/>
  <c r="BR68" i="2"/>
  <c r="F1040" i="4"/>
  <c r="BM68" i="2"/>
  <c r="F1039" i="4"/>
  <c r="BW68" i="2"/>
  <c r="F1041" i="4"/>
  <c r="X987" i="4"/>
  <c r="W987" i="4"/>
  <c r="S982" i="4"/>
  <c r="X982" i="4"/>
  <c r="W984" i="4"/>
  <c r="X983" i="4"/>
  <c r="X984" i="4"/>
  <c r="W983" i="4"/>
  <c r="X986" i="4"/>
  <c r="S986" i="4"/>
  <c r="W986" i="4"/>
  <c r="W985" i="4"/>
  <c r="X985" i="4"/>
  <c r="S985" i="4"/>
  <c r="BI23" i="2"/>
  <c r="H322" i="4"/>
  <c r="D324" i="4"/>
  <c r="Q324" i="4"/>
  <c r="S321" i="4"/>
  <c r="BF23" i="2"/>
  <c r="BN23" i="2"/>
  <c r="H323" i="4"/>
  <c r="L627" i="4"/>
  <c r="L681" i="4"/>
  <c r="K145" i="4"/>
  <c r="BA15" i="2"/>
  <c r="CB15" i="2" s="1"/>
  <c r="CD15" i="2" s="1"/>
  <c r="AY53" i="2"/>
  <c r="H1270" i="4"/>
  <c r="BI53" i="2"/>
  <c r="H1272" i="4"/>
  <c r="BK53" i="2" s="1"/>
  <c r="BD53" i="2"/>
  <c r="H1271" i="4"/>
  <c r="BF53" i="2" s="1"/>
  <c r="BN53" i="2"/>
  <c r="H1273" i="4"/>
  <c r="BP53" i="2" s="1"/>
  <c r="BX53" i="2"/>
  <c r="H1275" i="4"/>
  <c r="BZ53" i="2" s="1"/>
  <c r="BS53" i="2"/>
  <c r="H1274" i="4"/>
  <c r="BU53" i="2" s="1"/>
  <c r="G7" i="5"/>
  <c r="AG84" i="3" s="1"/>
  <c r="CB66" i="2" l="1"/>
  <c r="CD66" i="2" s="1"/>
  <c r="L1005" i="4" s="1"/>
  <c r="CF66" i="2"/>
  <c r="CF53" i="2"/>
  <c r="K879" i="4"/>
  <c r="CB58" i="2"/>
  <c r="CD58" i="2" s="1"/>
  <c r="BR80" i="2"/>
  <c r="F1472" i="4"/>
  <c r="BW80" i="2"/>
  <c r="F1473" i="4"/>
  <c r="BN83" i="2"/>
  <c r="H1525" i="4"/>
  <c r="BP83" i="2" s="1"/>
  <c r="BC80" i="2"/>
  <c r="F1469" i="4"/>
  <c r="BM80" i="2"/>
  <c r="F1471" i="4"/>
  <c r="BS83" i="2"/>
  <c r="H1526" i="4"/>
  <c r="BU83" i="2" s="1"/>
  <c r="BI83" i="2"/>
  <c r="H1524" i="4"/>
  <c r="BK83" i="2" s="1"/>
  <c r="AY83" i="2"/>
  <c r="H1522" i="4"/>
  <c r="BX83" i="2"/>
  <c r="H1527" i="4"/>
  <c r="BZ83" i="2" s="1"/>
  <c r="AX80" i="2"/>
  <c r="F1468" i="4"/>
  <c r="H1523" i="4"/>
  <c r="BF83" i="2" s="1"/>
  <c r="BD83" i="2"/>
  <c r="BH80" i="2"/>
  <c r="F1470" i="4"/>
  <c r="BA56" i="3"/>
  <c r="K861" i="4"/>
  <c r="BA57" i="2"/>
  <c r="CB57" i="2" s="1"/>
  <c r="CD57" i="2" s="1"/>
  <c r="BR65" i="2"/>
  <c r="F986" i="4"/>
  <c r="BW65" i="2"/>
  <c r="F987" i="4"/>
  <c r="BC65" i="2"/>
  <c r="F983" i="4"/>
  <c r="AY63" i="3"/>
  <c r="H982" i="4"/>
  <c r="AY65" i="2"/>
  <c r="BH65" i="2"/>
  <c r="F984" i="4"/>
  <c r="BM65" i="2"/>
  <c r="F985" i="4"/>
  <c r="H967" i="4"/>
  <c r="BP64" i="2" s="1"/>
  <c r="BN64" i="2"/>
  <c r="BS64" i="2"/>
  <c r="H968" i="4"/>
  <c r="BU64" i="2" s="1"/>
  <c r="BX64" i="2"/>
  <c r="H969" i="4"/>
  <c r="BZ64" i="2" s="1"/>
  <c r="BI64" i="2"/>
  <c r="H966" i="4"/>
  <c r="BK64" i="2" s="1"/>
  <c r="BD64" i="2"/>
  <c r="H965" i="4"/>
  <c r="BF64" i="2" s="1"/>
  <c r="BX68" i="2"/>
  <c r="H1041" i="4"/>
  <c r="BZ68" i="2" s="1"/>
  <c r="BD68" i="2"/>
  <c r="H1037" i="4"/>
  <c r="BF68" i="2" s="1"/>
  <c r="BN68" i="2"/>
  <c r="H1039" i="4"/>
  <c r="BP68" i="2" s="1"/>
  <c r="H1036" i="4"/>
  <c r="AY66" i="3"/>
  <c r="AY68" i="2"/>
  <c r="H1038" i="4"/>
  <c r="BK68" i="2" s="1"/>
  <c r="BI68" i="2"/>
  <c r="H1040" i="4"/>
  <c r="BU68" i="2" s="1"/>
  <c r="BS68" i="2"/>
  <c r="D325" i="4"/>
  <c r="Q325" i="4"/>
  <c r="BQ23" i="2"/>
  <c r="F324" i="4"/>
  <c r="BP23" i="2"/>
  <c r="S323" i="4"/>
  <c r="BK23" i="2"/>
  <c r="S322" i="4"/>
  <c r="L145" i="4"/>
  <c r="BA53" i="2"/>
  <c r="CB53" i="2" s="1"/>
  <c r="CD53" i="2" s="1"/>
  <c r="K1275" i="4"/>
  <c r="L7" i="5"/>
  <c r="BF119" i="2" s="1"/>
  <c r="M7" i="5"/>
  <c r="BK119" i="2" s="1"/>
  <c r="O7" i="5"/>
  <c r="BU119" i="2" s="1"/>
  <c r="P7" i="5"/>
  <c r="BZ119" i="2" s="1"/>
  <c r="K7" i="5"/>
  <c r="BA84" i="3" s="1"/>
  <c r="N7" i="5"/>
  <c r="BP119" i="2" s="1"/>
  <c r="CF57" i="2" l="1"/>
  <c r="CF68" i="2"/>
  <c r="L879" i="4"/>
  <c r="H1470" i="4"/>
  <c r="BK80" i="2" s="1"/>
  <c r="BI80" i="2"/>
  <c r="BA83" i="2"/>
  <c r="CB83" i="2" s="1"/>
  <c r="CD83" i="2" s="1"/>
  <c r="K1527" i="4"/>
  <c r="H1469" i="4"/>
  <c r="BF80" i="2" s="1"/>
  <c r="BD80" i="2"/>
  <c r="H1468" i="4"/>
  <c r="AY80" i="2"/>
  <c r="L861" i="4"/>
  <c r="H1471" i="4"/>
  <c r="BP80" i="2" s="1"/>
  <c r="BN80" i="2"/>
  <c r="H1472" i="4"/>
  <c r="BU80" i="2" s="1"/>
  <c r="BS80" i="2"/>
  <c r="BX80" i="2"/>
  <c r="H1473" i="4"/>
  <c r="BZ80" i="2" s="1"/>
  <c r="BD65" i="2"/>
  <c r="H983" i="4"/>
  <c r="BF65" i="2" s="1"/>
  <c r="BN65" i="2"/>
  <c r="H985" i="4"/>
  <c r="BP65" i="2" s="1"/>
  <c r="BI65" i="2"/>
  <c r="H984" i="4"/>
  <c r="BK65" i="2" s="1"/>
  <c r="BA63" i="3"/>
  <c r="BA65" i="2"/>
  <c r="BX65" i="2"/>
  <c r="H987" i="4"/>
  <c r="BZ65" i="2" s="1"/>
  <c r="H986" i="4"/>
  <c r="BU65" i="2" s="1"/>
  <c r="BS65" i="2"/>
  <c r="BA66" i="3"/>
  <c r="BA68" i="2"/>
  <c r="CB68" i="2" s="1"/>
  <c r="CD68" i="2" s="1"/>
  <c r="K1041" i="4"/>
  <c r="BS23" i="2"/>
  <c r="H324" i="4"/>
  <c r="BV23" i="2"/>
  <c r="F325" i="4"/>
  <c r="L1275" i="4"/>
  <c r="N6" i="5"/>
  <c r="BP118" i="2" s="1"/>
  <c r="O6" i="5"/>
  <c r="BU118" i="2" s="1"/>
  <c r="L6" i="5"/>
  <c r="BF118" i="2" s="1"/>
  <c r="M6" i="5"/>
  <c r="BK118" i="2" s="1"/>
  <c r="P6" i="5"/>
  <c r="BZ118" i="2" s="1"/>
  <c r="K6" i="5"/>
  <c r="BA83" i="3" s="1"/>
  <c r="BA119" i="2"/>
  <c r="CF65" i="2" l="1"/>
  <c r="L1527" i="4"/>
  <c r="K1473" i="4"/>
  <c r="BA80" i="2"/>
  <c r="CB80" i="2" s="1"/>
  <c r="CD80" i="2" s="1"/>
  <c r="K987" i="4"/>
  <c r="CB65" i="2"/>
  <c r="CD65" i="2" s="1"/>
  <c r="L1041" i="4"/>
  <c r="H325" i="4"/>
  <c r="BX23" i="2"/>
  <c r="BU23" i="2"/>
  <c r="S324" i="4"/>
  <c r="BA118" i="2"/>
  <c r="AG126" i="2"/>
  <c r="AG127" i="2" s="1"/>
  <c r="G8" i="5"/>
  <c r="AG85" i="3" s="1"/>
  <c r="AG91" i="3" s="1"/>
  <c r="G9" i="5"/>
  <c r="AG129" i="2"/>
  <c r="CF80" i="2" l="1"/>
  <c r="CF23" i="2"/>
  <c r="AG86" i="3"/>
  <c r="AG94" i="3" s="1"/>
  <c r="BA86" i="3"/>
  <c r="BA94" i="3" s="1"/>
  <c r="BA96" i="3" s="1"/>
  <c r="L987" i="4"/>
  <c r="L1473" i="4"/>
  <c r="BZ23" i="2"/>
  <c r="CB23" i="2" s="1"/>
  <c r="CD23" i="2" s="1"/>
  <c r="S325" i="4"/>
  <c r="K325" i="4"/>
  <c r="BZ121" i="2"/>
  <c r="BU121" i="2"/>
  <c r="BF121" i="2"/>
  <c r="AG130" i="2"/>
  <c r="AG131" i="2" s="1"/>
  <c r="AG133" i="2" s="1"/>
  <c r="G10" i="5"/>
  <c r="AG87" i="3" s="1"/>
  <c r="AG95" i="3" s="1"/>
  <c r="AG96" i="3" s="1"/>
  <c r="AG98" i="3" s="1"/>
  <c r="L325" i="4" l="1"/>
  <c r="BU129" i="2"/>
  <c r="BU131" i="2" s="1"/>
  <c r="E5" i="1"/>
  <c r="G5" i="1" s="1"/>
  <c r="BF129" i="2"/>
  <c r="BF131" i="2" s="1"/>
  <c r="E2" i="1"/>
  <c r="BZ129" i="2"/>
  <c r="BZ131" i="2" s="1"/>
  <c r="E6" i="1"/>
  <c r="BK121" i="2"/>
  <c r="BP121" i="2"/>
  <c r="BA121" i="2"/>
  <c r="BA129" i="2" s="1"/>
  <c r="BA131" i="2" s="1"/>
  <c r="BK129" i="2" l="1"/>
  <c r="BK131" i="2" s="1"/>
  <c r="E3" i="1"/>
  <c r="G3" i="1" s="1"/>
  <c r="BP129" i="2"/>
  <c r="BP131" i="2" s="1"/>
  <c r="E4" i="1"/>
  <c r="G4" i="1" s="1"/>
  <c r="G2" i="1"/>
  <c r="G6" i="1"/>
  <c r="E10" i="4"/>
  <c r="E11" i="4"/>
  <c r="AI4" i="3" s="1"/>
  <c r="AD4" i="3" l="1"/>
  <c r="E12" i="4"/>
  <c r="AN4" i="3" s="1"/>
  <c r="G10" i="4" l="1"/>
  <c r="AF4" i="3" s="1"/>
  <c r="G11" i="4"/>
  <c r="AK4" i="3" s="1"/>
  <c r="G12" i="4"/>
  <c r="AP4" i="3" s="1"/>
  <c r="E13" i="4"/>
  <c r="E19" i="4" s="1"/>
  <c r="E16" i="4" l="1"/>
  <c r="E15" i="4"/>
  <c r="E14" i="4"/>
  <c r="AX4" i="2" s="1"/>
  <c r="E17" i="4"/>
  <c r="E18" i="4"/>
  <c r="AS4" i="3"/>
  <c r="AX4" i="3" l="1"/>
  <c r="F14" i="4"/>
  <c r="AY4" i="3" s="1"/>
  <c r="F18" i="4"/>
  <c r="BR4" i="2"/>
  <c r="F15" i="4"/>
  <c r="BC4" i="2"/>
  <c r="BH4" i="2"/>
  <c r="F16" i="4"/>
  <c r="F17" i="4"/>
  <c r="BM4" i="2"/>
  <c r="BW4" i="2"/>
  <c r="F19" i="4"/>
  <c r="AY4" i="2" l="1"/>
  <c r="BX4" i="2"/>
  <c r="H19" i="4"/>
  <c r="BZ4" i="2" s="1"/>
  <c r="BS4" i="2"/>
  <c r="H18" i="4"/>
  <c r="BU4" i="2" s="1"/>
  <c r="H16" i="4"/>
  <c r="BK4" i="2" s="1"/>
  <c r="BI4" i="2"/>
  <c r="H15" i="4"/>
  <c r="BF4" i="2" s="1"/>
  <c r="CF4" i="2" s="1"/>
  <c r="BD4" i="2"/>
  <c r="H17" i="4"/>
  <c r="BP4" i="2" s="1"/>
  <c r="BN4" i="2"/>
  <c r="G13" i="4"/>
  <c r="AU4" i="3" s="1"/>
  <c r="AZ4" i="2"/>
  <c r="H14" i="4"/>
  <c r="BA4" i="3" s="1"/>
  <c r="K19" i="4" l="1"/>
  <c r="BA4" i="2"/>
  <c r="E28" i="4"/>
  <c r="G28" i="4"/>
  <c r="AF5" i="3" s="1"/>
  <c r="E29" i="4"/>
  <c r="AI5" i="3" s="1"/>
  <c r="AD5" i="3" l="1"/>
  <c r="CB4" i="2"/>
  <c r="CD4" i="2" s="1"/>
  <c r="L19" i="4" s="1"/>
  <c r="G29" i="4"/>
  <c r="AK5" i="3" s="1"/>
  <c r="E30" i="4"/>
  <c r="AN5" i="3" s="1"/>
  <c r="G30" i="4" l="1"/>
  <c r="AP5" i="3" s="1"/>
  <c r="E31" i="4"/>
  <c r="AS5" i="3" l="1"/>
  <c r="BR9" i="2"/>
  <c r="E32" i="4"/>
  <c r="AX5" i="3" s="1"/>
  <c r="F35" i="4"/>
  <c r="BN9" i="2" s="1"/>
  <c r="BC9" i="2"/>
  <c r="F36" i="4" l="1"/>
  <c r="H36" i="4" s="1"/>
  <c r="BU9" i="2" s="1"/>
  <c r="AX9" i="2"/>
  <c r="F33" i="4"/>
  <c r="BD9" i="2" s="1"/>
  <c r="F32" i="4"/>
  <c r="BM9" i="2"/>
  <c r="H35" i="4"/>
  <c r="BP9" i="2" s="1"/>
  <c r="F37" i="4"/>
  <c r="BW9" i="2"/>
  <c r="F34" i="4"/>
  <c r="BH9" i="2"/>
  <c r="AY9" i="2" l="1"/>
  <c r="AY5" i="3"/>
  <c r="BS9" i="2"/>
  <c r="H32" i="4"/>
  <c r="H33" i="4"/>
  <c r="BF9" i="2" s="1"/>
  <c r="H34" i="4"/>
  <c r="BK9" i="2" s="1"/>
  <c r="BI9" i="2"/>
  <c r="BX9" i="2"/>
  <c r="H37" i="4"/>
  <c r="BZ9" i="2" s="1"/>
  <c r="BA9" i="2" l="1"/>
  <c r="CB9" i="2" s="1"/>
  <c r="CD9" i="2" s="1"/>
  <c r="BA5" i="3"/>
  <c r="K37" i="4"/>
  <c r="G31" i="4"/>
  <c r="AU5" i="3" s="1"/>
  <c r="G82" i="4"/>
  <c r="AF7" i="3" s="1"/>
  <c r="L37" i="4" l="1"/>
  <c r="G83" i="4"/>
  <c r="AK7" i="3" s="1"/>
  <c r="G84" i="4"/>
  <c r="AP7" i="3" s="1"/>
  <c r="G85" i="4"/>
  <c r="AU7" i="3" s="1"/>
  <c r="BC12" i="2"/>
  <c r="BH12" i="2" l="1"/>
  <c r="F88" i="4"/>
  <c r="F87" i="4"/>
  <c r="AX7" i="3"/>
  <c r="AX12" i="2" l="1"/>
  <c r="F86" i="4"/>
  <c r="AY7" i="3" s="1"/>
  <c r="BW12" i="2"/>
  <c r="F91" i="4"/>
  <c r="H88" i="4"/>
  <c r="BK12" i="2" s="1"/>
  <c r="BI12" i="2"/>
  <c r="BM12" i="2"/>
  <c r="F89" i="4"/>
  <c r="F90" i="4"/>
  <c r="BR12" i="2"/>
  <c r="BD12" i="2"/>
  <c r="H87" i="4"/>
  <c r="BF12" i="2" s="1"/>
  <c r="CF12" i="2" l="1"/>
  <c r="BN12" i="2"/>
  <c r="H89" i="4"/>
  <c r="BP12" i="2" s="1"/>
  <c r="H91" i="4"/>
  <c r="BZ12" i="2" s="1"/>
  <c r="BX12" i="2"/>
  <c r="BS12" i="2"/>
  <c r="H90" i="4"/>
  <c r="BU12" i="2" s="1"/>
  <c r="H86" i="4"/>
  <c r="BA7" i="3" s="1"/>
  <c r="AY12" i="2"/>
  <c r="K91" i="4" l="1"/>
  <c r="BA12" i="2"/>
  <c r="CB12" i="2" s="1"/>
  <c r="CD12" i="2" s="1"/>
  <c r="L91" i="4" l="1"/>
  <c r="G100" i="4"/>
  <c r="AF8" i="3" s="1"/>
  <c r="G103" i="4"/>
  <c r="AU8" i="3" s="1"/>
  <c r="G101" i="4"/>
  <c r="AK8" i="3" s="1"/>
  <c r="G102" i="4" l="1"/>
  <c r="AP8" i="3" s="1"/>
  <c r="BW13" i="2"/>
  <c r="F108" i="4"/>
  <c r="BH13" i="2"/>
  <c r="BC13" i="2"/>
  <c r="AX8" i="3"/>
  <c r="AX13" i="2" l="1"/>
  <c r="F104" i="4"/>
  <c r="AY8" i="3" s="1"/>
  <c r="BS13" i="2"/>
  <c r="H108" i="4"/>
  <c r="BU13" i="2" s="1"/>
  <c r="F105" i="4"/>
  <c r="F106" i="4"/>
  <c r="BR13" i="2"/>
  <c r="F109" i="4"/>
  <c r="BM13" i="2" l="1"/>
  <c r="F107" i="4"/>
  <c r="AY13" i="2"/>
  <c r="H104" i="4"/>
  <c r="BA8" i="3" s="1"/>
  <c r="H109" i="4"/>
  <c r="BZ13" i="2" s="1"/>
  <c r="BX13" i="2"/>
  <c r="H105" i="4"/>
  <c r="BF13" i="2" s="1"/>
  <c r="BD13" i="2"/>
  <c r="BI13" i="2"/>
  <c r="H106" i="4"/>
  <c r="BK13" i="2" s="1"/>
  <c r="CF13" i="2" l="1"/>
  <c r="BA13" i="2"/>
  <c r="H107" i="4"/>
  <c r="BP13" i="2" s="1"/>
  <c r="BN13" i="2"/>
  <c r="CB13" i="2" l="1"/>
  <c r="CD13" i="2" s="1"/>
  <c r="K109" i="4"/>
  <c r="G118" i="4"/>
  <c r="AF9" i="3" s="1"/>
  <c r="L109" i="4" l="1"/>
  <c r="G119" i="4"/>
  <c r="AK9" i="3" s="1"/>
  <c r="G121" i="4"/>
  <c r="AU9" i="3" s="1"/>
  <c r="G120" i="4"/>
  <c r="AP9" i="3" s="1"/>
  <c r="AX9" i="3" l="1"/>
  <c r="BC14" i="2"/>
  <c r="F126" i="4"/>
  <c r="H126" i="4" s="1"/>
  <c r="BU14" i="2" s="1"/>
  <c r="F127" i="4"/>
  <c r="H127" i="4" s="1"/>
  <c r="BZ14" i="2" s="1"/>
  <c r="BM14" i="2"/>
  <c r="F124" i="4"/>
  <c r="H124" i="4" s="1"/>
  <c r="BK14" i="2" s="1"/>
  <c r="AX14" i="2" l="1"/>
  <c r="BR14" i="2"/>
  <c r="BS14" i="2"/>
  <c r="BX14" i="2"/>
  <c r="F123" i="4"/>
  <c r="BD14" i="2" s="1"/>
  <c r="F122" i="4"/>
  <c r="BW14" i="2"/>
  <c r="BH14" i="2"/>
  <c r="BI14" i="2"/>
  <c r="F125" i="4"/>
  <c r="BN14" i="2" s="1"/>
  <c r="AY14" i="2" l="1"/>
  <c r="AY9" i="3"/>
  <c r="H125" i="4"/>
  <c r="BP14" i="2" s="1"/>
  <c r="H123" i="4"/>
  <c r="BF14" i="2" s="1"/>
  <c r="CF14" i="2" s="1"/>
  <c r="H122" i="4"/>
  <c r="BA9" i="3" s="1"/>
  <c r="E172" i="4"/>
  <c r="AD15" i="3" l="1"/>
  <c r="K127" i="4"/>
  <c r="BA14" i="2"/>
  <c r="CB14" i="2" s="1"/>
  <c r="CD14" i="2" s="1"/>
  <c r="L127" i="4" l="1"/>
  <c r="G172" i="4"/>
  <c r="AF15" i="3" s="1"/>
  <c r="G173" i="4"/>
  <c r="AK15" i="3" s="1"/>
  <c r="E173" i="4"/>
  <c r="AI15" i="3" l="1"/>
  <c r="G175" i="4"/>
  <c r="AU15" i="3" s="1"/>
  <c r="E175" i="4"/>
  <c r="AS15" i="3" s="1"/>
  <c r="G174" i="4" l="1"/>
  <c r="AP15" i="3" s="1"/>
  <c r="E174" i="4"/>
  <c r="E176" i="4" l="1"/>
  <c r="E179" i="4"/>
  <c r="E1309" i="4" s="1"/>
  <c r="E181" i="4"/>
  <c r="E177" i="4"/>
  <c r="E178" i="4"/>
  <c r="E180" i="4"/>
  <c r="AN15" i="3"/>
  <c r="E160" i="4" l="1"/>
  <c r="BH16" i="2" s="1"/>
  <c r="E1308" i="4"/>
  <c r="AX15" i="3"/>
  <c r="E1306" i="4"/>
  <c r="E162" i="4"/>
  <c r="BR16" i="2" s="1"/>
  <c r="E1310" i="4"/>
  <c r="E163" i="4"/>
  <c r="BW16" i="2" s="1"/>
  <c r="E1311" i="4"/>
  <c r="E161" i="4"/>
  <c r="BM16" i="2" s="1"/>
  <c r="E159" i="4"/>
  <c r="BC16" i="2" s="1"/>
  <c r="E1307" i="4"/>
  <c r="F159" i="4"/>
  <c r="F176" i="4"/>
  <c r="AY15" i="3" s="1"/>
  <c r="AX17" i="2"/>
  <c r="F177" i="4"/>
  <c r="BC17" i="2"/>
  <c r="BH17" i="2"/>
  <c r="F178" i="4"/>
  <c r="F180" i="4"/>
  <c r="BR17" i="2"/>
  <c r="F181" i="4"/>
  <c r="BW17" i="2"/>
  <c r="BM17" i="2"/>
  <c r="F179" i="4"/>
  <c r="F163" i="4" l="1"/>
  <c r="F162" i="4"/>
  <c r="BS16" i="2" s="1"/>
  <c r="F161" i="4"/>
  <c r="H161" i="4" s="1"/>
  <c r="BP16" i="2" s="1"/>
  <c r="F160" i="4"/>
  <c r="BI16" i="2" s="1"/>
  <c r="AY17" i="2"/>
  <c r="H159" i="4"/>
  <c r="BD16" i="2"/>
  <c r="BX16" i="2"/>
  <c r="H163" i="4"/>
  <c r="BZ16" i="2" s="1"/>
  <c r="H176" i="4"/>
  <c r="BA15" i="3" s="1"/>
  <c r="AX6" i="2"/>
  <c r="F1306" i="4"/>
  <c r="BW6" i="2"/>
  <c r="F1311" i="4"/>
  <c r="BS17" i="2"/>
  <c r="H180" i="4"/>
  <c r="BU17" i="2" s="1"/>
  <c r="BD17" i="2"/>
  <c r="H177" i="4"/>
  <c r="BF17" i="2" s="1"/>
  <c r="F1308" i="4"/>
  <c r="BH6" i="2"/>
  <c r="BC6" i="2"/>
  <c r="F1307" i="4"/>
  <c r="BR6" i="2"/>
  <c r="F1310" i="4"/>
  <c r="BX17" i="2"/>
  <c r="H181" i="4"/>
  <c r="BZ17" i="2" s="1"/>
  <c r="BN17" i="2"/>
  <c r="H179" i="4"/>
  <c r="BP17" i="2" s="1"/>
  <c r="BM6" i="2"/>
  <c r="F1309" i="4"/>
  <c r="H178" i="4"/>
  <c r="BK17" i="2" s="1"/>
  <c r="BI17" i="2"/>
  <c r="H160" i="4" l="1"/>
  <c r="BK16" i="2" s="1"/>
  <c r="BN16" i="2"/>
  <c r="H162" i="4"/>
  <c r="BU16" i="2" s="1"/>
  <c r="BF16" i="2"/>
  <c r="K163" i="4"/>
  <c r="BA17" i="2"/>
  <c r="CB17" i="2" s="1"/>
  <c r="CD17" i="2" s="1"/>
  <c r="K181" i="4"/>
  <c r="BN6" i="2"/>
  <c r="H1309" i="4"/>
  <c r="BP6" i="2" s="1"/>
  <c r="BI6" i="2"/>
  <c r="H1308" i="4"/>
  <c r="BK6" i="2" s="1"/>
  <c r="BX6" i="2"/>
  <c r="H1311" i="4"/>
  <c r="BZ6" i="2" s="1"/>
  <c r="BD6" i="2"/>
  <c r="H1307" i="4"/>
  <c r="BF6" i="2" s="1"/>
  <c r="H1310" i="4"/>
  <c r="BU6" i="2" s="1"/>
  <c r="BS6" i="2"/>
  <c r="AY6" i="2"/>
  <c r="H1306" i="4"/>
  <c r="G190" i="4"/>
  <c r="AF16" i="3" s="1"/>
  <c r="E190" i="4"/>
  <c r="CB16" i="2" l="1"/>
  <c r="CD16" i="2" s="1"/>
  <c r="L181" i="4" s="1"/>
  <c r="AD16" i="3"/>
  <c r="BA6" i="2"/>
  <c r="CB6" i="2" s="1"/>
  <c r="CD6" i="2" s="1"/>
  <c r="K1311" i="4"/>
  <c r="E191" i="4"/>
  <c r="AI16" i="3" s="1"/>
  <c r="G191" i="4"/>
  <c r="AK16" i="3" s="1"/>
  <c r="E193" i="4"/>
  <c r="AS16" i="3" s="1"/>
  <c r="G193" i="4"/>
  <c r="AU16" i="3" s="1"/>
  <c r="E192" i="4"/>
  <c r="AN16" i="3" s="1"/>
  <c r="E197" i="4" l="1"/>
  <c r="E198" i="4"/>
  <c r="E195" i="4"/>
  <c r="E196" i="4"/>
  <c r="E199" i="4"/>
  <c r="E194" i="4"/>
  <c r="L1311" i="4"/>
  <c r="AX18" i="2" l="1"/>
  <c r="AX16" i="3"/>
  <c r="F194" i="4"/>
  <c r="F197" i="4"/>
  <c r="BM18" i="2"/>
  <c r="F198" i="4"/>
  <c r="BR18" i="2"/>
  <c r="BH18" i="2"/>
  <c r="F196" i="4"/>
  <c r="F195" i="4"/>
  <c r="BC18" i="2"/>
  <c r="BW18" i="2"/>
  <c r="F199" i="4"/>
  <c r="H194" i="4" l="1"/>
  <c r="BA16" i="3" s="1"/>
  <c r="AY16" i="3"/>
  <c r="AY18" i="2"/>
  <c r="BN18" i="2"/>
  <c r="H197" i="4"/>
  <c r="BP18" i="2" s="1"/>
  <c r="BD18" i="2"/>
  <c r="H195" i="4"/>
  <c r="BF18" i="2" s="1"/>
  <c r="BX18" i="2"/>
  <c r="H199" i="4"/>
  <c r="BZ18" i="2" s="1"/>
  <c r="BS18" i="2"/>
  <c r="H198" i="4"/>
  <c r="BU18" i="2" s="1"/>
  <c r="BI18" i="2"/>
  <c r="H196" i="4"/>
  <c r="BK18" i="2" s="1"/>
  <c r="CF18" i="2" l="1"/>
  <c r="BA18" i="2"/>
  <c r="CB18" i="2" s="1"/>
  <c r="CD18" i="2" s="1"/>
  <c r="K199" i="4"/>
  <c r="L199" i="4" s="1"/>
  <c r="G192" i="4"/>
  <c r="AP16" i="3" s="1"/>
  <c r="E226" i="4"/>
  <c r="G226" i="4"/>
  <c r="AF17" i="3" s="1"/>
  <c r="G229" i="4"/>
  <c r="AU17" i="3" s="1"/>
  <c r="E229" i="4"/>
  <c r="AS17" i="3" s="1"/>
  <c r="G228" i="4"/>
  <c r="AP17" i="3" s="1"/>
  <c r="E228" i="4"/>
  <c r="AN17" i="3" s="1"/>
  <c r="G227" i="4"/>
  <c r="AK17" i="3" s="1"/>
  <c r="E227" i="4"/>
  <c r="AI17" i="3" s="1"/>
  <c r="AX17" i="3" l="1"/>
  <c r="AD17" i="3"/>
  <c r="BC20" i="2"/>
  <c r="F231" i="4" l="1"/>
  <c r="BD20" i="2" s="1"/>
  <c r="F234" i="4"/>
  <c r="BR20" i="2"/>
  <c r="BW20" i="2"/>
  <c r="F235" i="4"/>
  <c r="BH20" i="2"/>
  <c r="F232" i="4"/>
  <c r="AX20" i="2"/>
  <c r="F230" i="4"/>
  <c r="AY17" i="3" s="1"/>
  <c r="F233" i="4"/>
  <c r="BM20" i="2"/>
  <c r="H231" i="4" l="1"/>
  <c r="BF20" i="2" s="1"/>
  <c r="CF20" i="2" s="1"/>
  <c r="H234" i="4"/>
  <c r="BU20" i="2" s="1"/>
  <c r="BS20" i="2"/>
  <c r="AY20" i="2"/>
  <c r="H230" i="4"/>
  <c r="BA17" i="3" s="1"/>
  <c r="H233" i="4"/>
  <c r="BP20" i="2" s="1"/>
  <c r="BN20" i="2"/>
  <c r="H232" i="4"/>
  <c r="BK20" i="2" s="1"/>
  <c r="BI20" i="2"/>
  <c r="BX20" i="2"/>
  <c r="H235" i="4"/>
  <c r="BZ20" i="2" s="1"/>
  <c r="K235" i="4" l="1"/>
  <c r="BA20" i="2"/>
  <c r="CB20" i="2" s="1"/>
  <c r="CD20" i="2" s="1"/>
  <c r="G244" i="4"/>
  <c r="AF18" i="3" s="1"/>
  <c r="E244" i="4"/>
  <c r="E247" i="4"/>
  <c r="AS18" i="3" s="1"/>
  <c r="G247" i="4"/>
  <c r="AU18" i="3" s="1"/>
  <c r="G246" i="4"/>
  <c r="AP18" i="3" s="1"/>
  <c r="E246" i="4"/>
  <c r="AN18" i="3" s="1"/>
  <c r="G245" i="4"/>
  <c r="AK18" i="3" s="1"/>
  <c r="E245" i="4"/>
  <c r="AI18" i="3" s="1"/>
  <c r="E250" i="4" l="1"/>
  <c r="F250" i="4" s="1"/>
  <c r="E249" i="4"/>
  <c r="E252" i="4"/>
  <c r="BR21" i="2" s="1"/>
  <c r="E251" i="4"/>
  <c r="E248" i="4"/>
  <c r="AX18" i="3" s="1"/>
  <c r="E253" i="4"/>
  <c r="AD18" i="3"/>
  <c r="L235" i="4"/>
  <c r="BH21" i="2" l="1"/>
  <c r="F252" i="4"/>
  <c r="BS21" i="2" s="1"/>
  <c r="BM21" i="2"/>
  <c r="F251" i="4"/>
  <c r="F253" i="4"/>
  <c r="BW21" i="2"/>
  <c r="BI21" i="2"/>
  <c r="H250" i="4"/>
  <c r="BK21" i="2" s="1"/>
  <c r="BC21" i="2"/>
  <c r="F249" i="4"/>
  <c r="AX21" i="2"/>
  <c r="F248" i="4"/>
  <c r="AY18" i="3" s="1"/>
  <c r="H252" i="4" l="1"/>
  <c r="BU21" i="2" s="1"/>
  <c r="BD21" i="2"/>
  <c r="H249" i="4"/>
  <c r="BF21" i="2" s="1"/>
  <c r="H251" i="4"/>
  <c r="BP21" i="2" s="1"/>
  <c r="BN21" i="2"/>
  <c r="H248" i="4"/>
  <c r="BA18" i="3" s="1"/>
  <c r="AY21" i="2"/>
  <c r="BX21" i="2"/>
  <c r="H253" i="4"/>
  <c r="BZ21" i="2" s="1"/>
  <c r="K253" i="4" l="1"/>
  <c r="BA21" i="2"/>
  <c r="CB21" i="2" s="1"/>
  <c r="CD21" i="2" s="1"/>
  <c r="E265" i="4"/>
  <c r="AS19" i="3" s="1"/>
  <c r="G265" i="4"/>
  <c r="AU19" i="3" s="1"/>
  <c r="G264" i="4"/>
  <c r="AP19" i="3" s="1"/>
  <c r="E264" i="4"/>
  <c r="AN19" i="3" s="1"/>
  <c r="E263" i="4"/>
  <c r="AI19" i="3" s="1"/>
  <c r="G263" i="4"/>
  <c r="AK19" i="3" s="1"/>
  <c r="E262" i="4"/>
  <c r="E267" i="4" l="1"/>
  <c r="BC22" i="2" s="1"/>
  <c r="E268" i="4"/>
  <c r="F268" i="4" s="1"/>
  <c r="BI22" i="2" s="1"/>
  <c r="E269" i="4"/>
  <c r="F269" i="4" s="1"/>
  <c r="H269" i="4" s="1"/>
  <c r="BP22" i="2" s="1"/>
  <c r="E270" i="4"/>
  <c r="F270" i="4" s="1"/>
  <c r="H270" i="4" s="1"/>
  <c r="BU22" i="2" s="1"/>
  <c r="E271" i="4"/>
  <c r="F271" i="4" s="1"/>
  <c r="H271" i="4" s="1"/>
  <c r="BZ22" i="2" s="1"/>
  <c r="E266" i="4"/>
  <c r="AX19" i="3" s="1"/>
  <c r="AD19" i="3"/>
  <c r="L253" i="4"/>
  <c r="F267" i="4" l="1"/>
  <c r="H267" i="4" s="1"/>
  <c r="BF22" i="2" s="1"/>
  <c r="BR22" i="2"/>
  <c r="BS22" i="2"/>
  <c r="BH22" i="2"/>
  <c r="BN22" i="2"/>
  <c r="BW22" i="2"/>
  <c r="F266" i="4"/>
  <c r="AY19" i="3" s="1"/>
  <c r="AX22" i="2"/>
  <c r="BM22" i="2"/>
  <c r="BX22" i="2"/>
  <c r="H268" i="4"/>
  <c r="BK22" i="2" s="1"/>
  <c r="BD22" i="2" l="1"/>
  <c r="H266" i="4"/>
  <c r="BA19" i="3" s="1"/>
  <c r="AY22" i="2"/>
  <c r="BA22" i="2" l="1"/>
  <c r="CB22" i="2" s="1"/>
  <c r="CD22" i="2" s="1"/>
  <c r="K271" i="4"/>
  <c r="G262" i="4"/>
  <c r="AF19" i="3" s="1"/>
  <c r="Y8" i="2"/>
  <c r="L271" i="4" l="1"/>
  <c r="BB8" i="2"/>
  <c r="E297" i="4"/>
  <c r="AW21" i="3"/>
  <c r="BQ8" i="2" l="1"/>
  <c r="BG8" i="2"/>
  <c r="BL8" i="2"/>
  <c r="AW8" i="2"/>
  <c r="BV8" i="2"/>
  <c r="E298" i="4"/>
  <c r="AD21" i="3" s="1"/>
  <c r="G298" i="4" l="1"/>
  <c r="AF21" i="3" s="1"/>
  <c r="E299" i="4"/>
  <c r="AI21" i="3" l="1"/>
  <c r="G299" i="4"/>
  <c r="AK21" i="3" s="1"/>
  <c r="E300" i="4"/>
  <c r="AN21" i="3" l="1"/>
  <c r="G300" i="4"/>
  <c r="AP21" i="3" s="1"/>
  <c r="G301" i="4"/>
  <c r="AU21" i="3" s="1"/>
  <c r="E301" i="4"/>
  <c r="E302" i="4" s="1"/>
  <c r="E304" i="4" l="1"/>
  <c r="BH8" i="2" s="1"/>
  <c r="E306" i="4"/>
  <c r="F306" i="4" s="1"/>
  <c r="E305" i="4"/>
  <c r="F305" i="4" s="1"/>
  <c r="E303" i="4"/>
  <c r="E307" i="4"/>
  <c r="BW8" i="2" s="1"/>
  <c r="AX21" i="3"/>
  <c r="AS21" i="3"/>
  <c r="BM8" i="2" l="1"/>
  <c r="H305" i="4"/>
  <c r="BP8" i="2" s="1"/>
  <c r="BN8" i="2"/>
  <c r="BR8" i="2"/>
  <c r="F307" i="4"/>
  <c r="H307" i="4" s="1"/>
  <c r="BZ8" i="2" s="1"/>
  <c r="F304" i="4"/>
  <c r="H304" i="4" s="1"/>
  <c r="BK8" i="2" s="1"/>
  <c r="AX8" i="2"/>
  <c r="F302" i="4"/>
  <c r="AY21" i="3" s="1"/>
  <c r="F303" i="4"/>
  <c r="BC8" i="2"/>
  <c r="H306" i="4"/>
  <c r="BU8" i="2" s="1"/>
  <c r="BS8" i="2"/>
  <c r="BI8" i="2" l="1"/>
  <c r="BX8" i="2"/>
  <c r="AY8" i="2"/>
  <c r="H302" i="4"/>
  <c r="BA21" i="3" s="1"/>
  <c r="BD8" i="2"/>
  <c r="H303" i="4"/>
  <c r="BF8" i="2" s="1"/>
  <c r="CF8" i="2" s="1"/>
  <c r="K307" i="4" l="1"/>
  <c r="BA8" i="2"/>
  <c r="CB8" i="2" s="1"/>
  <c r="CD8" i="2" s="1"/>
  <c r="E360" i="4"/>
  <c r="G360" i="4"/>
  <c r="AF25" i="3" s="1"/>
  <c r="E361" i="4"/>
  <c r="AI25" i="3" s="1"/>
  <c r="G361" i="4"/>
  <c r="AK25" i="3" s="1"/>
  <c r="G362" i="4"/>
  <c r="AP25" i="3" s="1"/>
  <c r="E362" i="4"/>
  <c r="AN25" i="3" s="1"/>
  <c r="E363" i="4"/>
  <c r="AS25" i="3" s="1"/>
  <c r="E368" i="4" l="1"/>
  <c r="E1732" i="4" s="1"/>
  <c r="E365" i="4"/>
  <c r="E366" i="4"/>
  <c r="E364" i="4"/>
  <c r="AX25" i="3" s="1"/>
  <c r="E367" i="4"/>
  <c r="E1731" i="4" s="1"/>
  <c r="E369" i="4"/>
  <c r="E1730" i="4"/>
  <c r="AD25" i="3"/>
  <c r="L307" i="4"/>
  <c r="BC5" i="2" l="1"/>
  <c r="E1729" i="4"/>
  <c r="BH101" i="2"/>
  <c r="F1730" i="4"/>
  <c r="BR101" i="2"/>
  <c r="F1732" i="4"/>
  <c r="BM101" i="2"/>
  <c r="F1731" i="4"/>
  <c r="BW5" i="2"/>
  <c r="E1733" i="4"/>
  <c r="F365" i="4"/>
  <c r="BD5" i="2" s="1"/>
  <c r="F369" i="4"/>
  <c r="BX5" i="2" s="1"/>
  <c r="BM5" i="2"/>
  <c r="F367" i="4"/>
  <c r="AX5" i="2"/>
  <c r="F364" i="4"/>
  <c r="AY25" i="3" s="1"/>
  <c r="BH5" i="2"/>
  <c r="F366" i="4"/>
  <c r="BR5" i="2"/>
  <c r="F368" i="4"/>
  <c r="H1732" i="4" l="1"/>
  <c r="BU101" i="2" s="1"/>
  <c r="BS101" i="2"/>
  <c r="H1731" i="4"/>
  <c r="BP101" i="2" s="1"/>
  <c r="BN101" i="2"/>
  <c r="H1730" i="4"/>
  <c r="BK101" i="2" s="1"/>
  <c r="BI101" i="2"/>
  <c r="BW101" i="2"/>
  <c r="F1733" i="4"/>
  <c r="BC101" i="2"/>
  <c r="F1729" i="4"/>
  <c r="H369" i="4"/>
  <c r="BZ5" i="2" s="1"/>
  <c r="H365" i="4"/>
  <c r="BF5" i="2" s="1"/>
  <c r="BS5" i="2"/>
  <c r="H368" i="4"/>
  <c r="BU5" i="2" s="1"/>
  <c r="BN5" i="2"/>
  <c r="H367" i="4"/>
  <c r="BP5" i="2" s="1"/>
  <c r="H366" i="4"/>
  <c r="BK5" i="2" s="1"/>
  <c r="BI5" i="2"/>
  <c r="AY5" i="2"/>
  <c r="H364" i="4"/>
  <c r="BA25" i="3" s="1"/>
  <c r="CF5" i="2" l="1"/>
  <c r="BX101" i="2"/>
  <c r="H1733" i="4"/>
  <c r="BZ101" i="2" s="1"/>
  <c r="BD101" i="2"/>
  <c r="H1729" i="4"/>
  <c r="K369" i="4"/>
  <c r="BA5" i="2"/>
  <c r="CB5" i="2" s="1"/>
  <c r="CD5" i="2" s="1"/>
  <c r="BF101" i="2" l="1"/>
  <c r="CB101" i="2" s="1"/>
  <c r="CD101" i="2" s="1"/>
  <c r="K1733" i="4"/>
  <c r="L369" i="4"/>
  <c r="G363" i="4"/>
  <c r="AU25" i="3" s="1"/>
  <c r="E418" i="4"/>
  <c r="AI29" i="3" s="1"/>
  <c r="G418" i="4"/>
  <c r="AK29" i="3" s="1"/>
  <c r="G419" i="4"/>
  <c r="AP29" i="3" s="1"/>
  <c r="E419" i="4"/>
  <c r="AN29" i="3" s="1"/>
  <c r="E420" i="4"/>
  <c r="AS29" i="3" s="1"/>
  <c r="G420" i="4"/>
  <c r="AU29" i="3" s="1"/>
  <c r="G417" i="4"/>
  <c r="AF29" i="3" s="1"/>
  <c r="E417" i="4"/>
  <c r="E423" i="4" l="1"/>
  <c r="BH25" i="2" s="1"/>
  <c r="E424" i="4"/>
  <c r="F424" i="4" s="1"/>
  <c r="H424" i="4" s="1"/>
  <c r="E425" i="4"/>
  <c r="E426" i="4"/>
  <c r="F426" i="4" s="1"/>
  <c r="H426" i="4" s="1"/>
  <c r="E422" i="4"/>
  <c r="E421" i="4"/>
  <c r="AX29" i="3" s="1"/>
  <c r="F425" i="4"/>
  <c r="H425" i="4" s="1"/>
  <c r="AD29" i="3"/>
  <c r="F423" i="4" l="1"/>
  <c r="BI25" i="2" s="1"/>
  <c r="BR25" i="2"/>
  <c r="F421" i="4"/>
  <c r="AY29" i="3" s="1"/>
  <c r="AX25" i="2"/>
  <c r="F422" i="4"/>
  <c r="BC25" i="2"/>
  <c r="BW25" i="2"/>
  <c r="BM25" i="2"/>
  <c r="H423" i="4" l="1"/>
  <c r="BK25" i="2" s="1"/>
  <c r="BS25" i="2"/>
  <c r="BU25" i="2"/>
  <c r="AY25" i="2"/>
  <c r="H421" i="4"/>
  <c r="BA29" i="3" s="1"/>
  <c r="BZ25" i="2"/>
  <c r="BX25" i="2"/>
  <c r="BP25" i="2"/>
  <c r="BN25" i="2"/>
  <c r="BD25" i="2"/>
  <c r="H422" i="4"/>
  <c r="BF25" i="2" s="1"/>
  <c r="K426" i="4" l="1"/>
  <c r="BA25" i="2"/>
  <c r="CB25" i="2" s="1"/>
  <c r="CD25" i="2" s="1"/>
  <c r="G435" i="4"/>
  <c r="AF30" i="3" s="1"/>
  <c r="E435" i="4"/>
  <c r="AD30" i="3" l="1"/>
  <c r="L426" i="4"/>
  <c r="E436" i="4"/>
  <c r="AI30" i="3" s="1"/>
  <c r="G436" i="4"/>
  <c r="AK30" i="3" s="1"/>
  <c r="G437" i="4" l="1"/>
  <c r="AP30" i="3" s="1"/>
  <c r="E437" i="4"/>
  <c r="E443" i="4" l="1"/>
  <c r="AN30" i="3"/>
  <c r="G438" i="4"/>
  <c r="AU30" i="3" s="1"/>
  <c r="E438" i="4"/>
  <c r="E440" i="4" s="1"/>
  <c r="E442" i="4" l="1"/>
  <c r="E439" i="4"/>
  <c r="AX30" i="3" s="1"/>
  <c r="E441" i="4"/>
  <c r="E444" i="4"/>
  <c r="AS30" i="3"/>
  <c r="F443" i="4"/>
  <c r="BR26" i="2" l="1"/>
  <c r="F440" i="4"/>
  <c r="BC26" i="2"/>
  <c r="BH26" i="2"/>
  <c r="F441" i="4"/>
  <c r="H443" i="4"/>
  <c r="BU26" i="2" s="1"/>
  <c r="BS26" i="2"/>
  <c r="F439" i="4"/>
  <c r="AY30" i="3" s="1"/>
  <c r="AX26" i="2"/>
  <c r="BW26" i="2"/>
  <c r="F444" i="4"/>
  <c r="BM26" i="2"/>
  <c r="F442" i="4"/>
  <c r="BD26" i="2" l="1"/>
  <c r="H440" i="4"/>
  <c r="BF26" i="2" s="1"/>
  <c r="H442" i="4"/>
  <c r="BP26" i="2" s="1"/>
  <c r="BN26" i="2"/>
  <c r="BX26" i="2"/>
  <c r="H444" i="4"/>
  <c r="BZ26" i="2" s="1"/>
  <c r="H439" i="4"/>
  <c r="BA30" i="3" s="1"/>
  <c r="AY26" i="2"/>
  <c r="H441" i="4"/>
  <c r="BK26" i="2" s="1"/>
  <c r="BI26" i="2"/>
  <c r="CF26" i="2" l="1"/>
  <c r="K444" i="4"/>
  <c r="BA26" i="2"/>
  <c r="CB26" i="2" s="1"/>
  <c r="CD26" i="2" s="1"/>
  <c r="G453" i="4"/>
  <c r="AF31" i="3" s="1"/>
  <c r="E453" i="4"/>
  <c r="E454" i="4"/>
  <c r="AI31" i="3" s="1"/>
  <c r="G454" i="4"/>
  <c r="AK31" i="3" s="1"/>
  <c r="G455" i="4"/>
  <c r="AP31" i="3" s="1"/>
  <c r="E455" i="4"/>
  <c r="AN31" i="3" s="1"/>
  <c r="G456" i="4"/>
  <c r="AU31" i="3" s="1"/>
  <c r="E456" i="4"/>
  <c r="AS31" i="3" s="1"/>
  <c r="E462" i="4" l="1"/>
  <c r="BW27" i="2" s="1"/>
  <c r="E459" i="4"/>
  <c r="F459" i="4" s="1"/>
  <c r="H459" i="4" s="1"/>
  <c r="BK27" i="2" s="1"/>
  <c r="E460" i="4"/>
  <c r="E458" i="4"/>
  <c r="F458" i="4" s="1"/>
  <c r="H458" i="4" s="1"/>
  <c r="BF27" i="2" s="1"/>
  <c r="E457" i="4"/>
  <c r="E461" i="4"/>
  <c r="BR27" i="2" s="1"/>
  <c r="BM27" i="2"/>
  <c r="AD31" i="3"/>
  <c r="L444" i="4"/>
  <c r="AX27" i="2" l="1"/>
  <c r="AX31" i="3"/>
  <c r="F461" i="4"/>
  <c r="H461" i="4" s="1"/>
  <c r="BU27" i="2" s="1"/>
  <c r="F457" i="4"/>
  <c r="BD27" i="2"/>
  <c r="BH27" i="2"/>
  <c r="BC27" i="2"/>
  <c r="BI27" i="2"/>
  <c r="F462" i="4"/>
  <c r="BX27" i="2" s="1"/>
  <c r="F460" i="4"/>
  <c r="BN27" i="2" s="1"/>
  <c r="BS27" i="2" l="1"/>
  <c r="AY27" i="2"/>
  <c r="AY31" i="3"/>
  <c r="H457" i="4"/>
  <c r="BA31" i="3" s="1"/>
  <c r="H462" i="4"/>
  <c r="BZ27" i="2" s="1"/>
  <c r="H460" i="4"/>
  <c r="BP27" i="2" s="1"/>
  <c r="CF27" i="2" s="1"/>
  <c r="E472" i="4"/>
  <c r="AI32" i="3" s="1"/>
  <c r="G472" i="4"/>
  <c r="AK32" i="3" s="1"/>
  <c r="E473" i="4"/>
  <c r="AN32" i="3" s="1"/>
  <c r="G473" i="4"/>
  <c r="AP32" i="3" s="1"/>
  <c r="G474" i="4"/>
  <c r="AU32" i="3" s="1"/>
  <c r="E474" i="4"/>
  <c r="AS32" i="3" s="1"/>
  <c r="E471" i="4"/>
  <c r="AX32" i="3" l="1"/>
  <c r="BH28" i="2"/>
  <c r="AD32" i="3"/>
  <c r="K462" i="4"/>
  <c r="BA27" i="2"/>
  <c r="CB27" i="2" s="1"/>
  <c r="CD27" i="2" s="1"/>
  <c r="L462" i="4" l="1"/>
  <c r="F477" i="4"/>
  <c r="H477" i="4" s="1"/>
  <c r="BK28" i="2" s="1"/>
  <c r="BC28" i="2"/>
  <c r="F476" i="4"/>
  <c r="F480" i="4"/>
  <c r="BW28" i="2"/>
  <c r="AX28" i="2"/>
  <c r="F475" i="4"/>
  <c r="AY32" i="3" s="1"/>
  <c r="BR28" i="2"/>
  <c r="F479" i="4"/>
  <c r="BM28" i="2"/>
  <c r="F478" i="4"/>
  <c r="BI28" i="2" l="1"/>
  <c r="AY28" i="2"/>
  <c r="H475" i="4"/>
  <c r="BA32" i="3" s="1"/>
  <c r="BD28" i="2"/>
  <c r="H476" i="4"/>
  <c r="BF28" i="2" s="1"/>
  <c r="H478" i="4"/>
  <c r="BP28" i="2" s="1"/>
  <c r="BN28" i="2"/>
  <c r="BX28" i="2"/>
  <c r="H480" i="4"/>
  <c r="BZ28" i="2" s="1"/>
  <c r="BS28" i="2"/>
  <c r="H479" i="4"/>
  <c r="BU28" i="2" s="1"/>
  <c r="K480" i="4" l="1"/>
  <c r="BA28" i="2"/>
  <c r="CB28" i="2" s="1"/>
  <c r="CD28" i="2" s="1"/>
  <c r="CF28" i="2" l="1"/>
  <c r="L480" i="4"/>
  <c r="G471" i="4"/>
  <c r="AF32" i="3" s="1"/>
  <c r="BW33" i="2" l="1"/>
  <c r="BC33" i="2" l="1"/>
  <c r="F556" i="4"/>
  <c r="F560" i="4"/>
  <c r="AX37" i="3"/>
  <c r="AX33" i="2" l="1"/>
  <c r="F555" i="4"/>
  <c r="AY37" i="3" s="1"/>
  <c r="BM33" i="2"/>
  <c r="F558" i="4"/>
  <c r="BD33" i="2"/>
  <c r="H556" i="4"/>
  <c r="BF33" i="2" s="1"/>
  <c r="F557" i="4"/>
  <c r="BH33" i="2"/>
  <c r="BR33" i="2"/>
  <c r="F559" i="4"/>
  <c r="H560" i="4"/>
  <c r="BZ33" i="2" s="1"/>
  <c r="BX33" i="2"/>
  <c r="CF33" i="2" l="1"/>
  <c r="H557" i="4"/>
  <c r="BK33" i="2" s="1"/>
  <c r="BI33" i="2"/>
  <c r="H558" i="4"/>
  <c r="BP33" i="2" s="1"/>
  <c r="BN33" i="2"/>
  <c r="H559" i="4"/>
  <c r="BU33" i="2" s="1"/>
  <c r="BS33" i="2"/>
  <c r="H555" i="4"/>
  <c r="BA37" i="3" s="1"/>
  <c r="AY33" i="2"/>
  <c r="K560" i="4" l="1"/>
  <c r="BA33" i="2"/>
  <c r="E726" i="4"/>
  <c r="AD47" i="3" l="1"/>
  <c r="CB33" i="2"/>
  <c r="CD33" i="2" s="1"/>
  <c r="L560" i="4" s="1"/>
  <c r="G726" i="4"/>
  <c r="AF47" i="3" s="1"/>
  <c r="E727" i="4"/>
  <c r="G727" i="4"/>
  <c r="AK47" i="3" s="1"/>
  <c r="E728" i="4"/>
  <c r="AN47" i="3" s="1"/>
  <c r="G728" i="4"/>
  <c r="AP47" i="3" s="1"/>
  <c r="G729" i="4"/>
  <c r="AU47" i="3" s="1"/>
  <c r="E729" i="4"/>
  <c r="AS47" i="3" s="1"/>
  <c r="E733" i="4" l="1"/>
  <c r="BM47" i="2" s="1"/>
  <c r="E732" i="4"/>
  <c r="E730" i="4"/>
  <c r="E731" i="4"/>
  <c r="BC47" i="2" s="1"/>
  <c r="E735" i="4"/>
  <c r="F735" i="4" s="1"/>
  <c r="E734" i="4"/>
  <c r="F734" i="4" s="1"/>
  <c r="BH47" i="2"/>
  <c r="AI47" i="3"/>
  <c r="F731" i="4" l="1"/>
  <c r="H731" i="4" s="1"/>
  <c r="BF47" i="2" s="1"/>
  <c r="F732" i="4"/>
  <c r="H732" i="4" s="1"/>
  <c r="BK47" i="2" s="1"/>
  <c r="AX47" i="2"/>
  <c r="AX47" i="3"/>
  <c r="F730" i="4"/>
  <c r="AY47" i="3" s="1"/>
  <c r="F733" i="4"/>
  <c r="BN47" i="2" s="1"/>
  <c r="BW47" i="2"/>
  <c r="BR47" i="2"/>
  <c r="BX47" i="2"/>
  <c r="H735" i="4"/>
  <c r="BZ47" i="2" s="1"/>
  <c r="H734" i="4"/>
  <c r="BU47" i="2" s="1"/>
  <c r="BS47" i="2"/>
  <c r="BI47" i="2" l="1"/>
  <c r="BD47" i="2"/>
  <c r="AY47" i="2"/>
  <c r="H730" i="4"/>
  <c r="BA47" i="3" s="1"/>
  <c r="H733" i="4"/>
  <c r="BP47" i="2" s="1"/>
  <c r="G744" i="4"/>
  <c r="AF48" i="3" s="1"/>
  <c r="E744" i="4"/>
  <c r="AD48" i="3" l="1"/>
  <c r="BA47" i="2"/>
  <c r="CB47" i="2" s="1"/>
  <c r="CD47" i="2" s="1"/>
  <c r="K735" i="4"/>
  <c r="E745" i="4"/>
  <c r="AI48" i="3" s="1"/>
  <c r="L735" i="4" l="1"/>
  <c r="G745" i="4"/>
  <c r="AK48" i="3" s="1"/>
  <c r="E746" i="4"/>
  <c r="AN48" i="3" l="1"/>
  <c r="G746" i="4"/>
  <c r="AP48" i="3" s="1"/>
  <c r="G747" i="4"/>
  <c r="AU48" i="3" s="1"/>
  <c r="E747" i="4"/>
  <c r="E752" i="4" s="1"/>
  <c r="E748" i="4" l="1"/>
  <c r="E750" i="4"/>
  <c r="E753" i="4"/>
  <c r="E749" i="4"/>
  <c r="E751" i="4"/>
  <c r="AS48" i="3"/>
  <c r="AX48" i="3"/>
  <c r="F748" i="4" l="1"/>
  <c r="AY48" i="3" s="1"/>
  <c r="AX48" i="2"/>
  <c r="BH48" i="2"/>
  <c r="F750" i="4"/>
  <c r="BW48" i="2"/>
  <c r="F753" i="4"/>
  <c r="BM48" i="2"/>
  <c r="F751" i="4"/>
  <c r="BR48" i="2"/>
  <c r="F752" i="4"/>
  <c r="BC48" i="2"/>
  <c r="F749" i="4"/>
  <c r="AY48" i="2" l="1"/>
  <c r="H748" i="4"/>
  <c r="BA48" i="3" s="1"/>
  <c r="BD48" i="2"/>
  <c r="H749" i="4"/>
  <c r="BF48" i="2" s="1"/>
  <c r="BI48" i="2"/>
  <c r="H750" i="4"/>
  <c r="BK48" i="2" s="1"/>
  <c r="H751" i="4"/>
  <c r="BP48" i="2" s="1"/>
  <c r="BN48" i="2"/>
  <c r="BS48" i="2"/>
  <c r="H752" i="4"/>
  <c r="BU48" i="2" s="1"/>
  <c r="BX48" i="2"/>
  <c r="H753" i="4"/>
  <c r="BZ48" i="2" s="1"/>
  <c r="G762" i="4"/>
  <c r="AF49" i="3" s="1"/>
  <c r="E762" i="4"/>
  <c r="BA48" i="2" l="1"/>
  <c r="CB48" i="2" s="1"/>
  <c r="CD48" i="2" s="1"/>
  <c r="AD49" i="3"/>
  <c r="K753" i="4"/>
  <c r="G763" i="4"/>
  <c r="AK49" i="3" s="1"/>
  <c r="E763" i="4"/>
  <c r="AI49" i="3" s="1"/>
  <c r="L753" i="4" l="1"/>
  <c r="G764" i="4"/>
  <c r="AP49" i="3" s="1"/>
  <c r="E764" i="4"/>
  <c r="G765" i="4"/>
  <c r="AU49" i="3" s="1"/>
  <c r="E765" i="4"/>
  <c r="AS49" i="3" s="1"/>
  <c r="E766" i="4" l="1"/>
  <c r="E769" i="4"/>
  <c r="E768" i="4"/>
  <c r="F768" i="4" s="1"/>
  <c r="BI49" i="2" s="1"/>
  <c r="E770" i="4"/>
  <c r="E771" i="4"/>
  <c r="E767" i="4"/>
  <c r="F767" i="4" s="1"/>
  <c r="H767" i="4" s="1"/>
  <c r="BF49" i="2" s="1"/>
  <c r="AN49" i="3"/>
  <c r="AX49" i="2" l="1"/>
  <c r="AX49" i="3"/>
  <c r="BC49" i="2"/>
  <c r="BD49" i="2"/>
  <c r="F766" i="4"/>
  <c r="AY49" i="3" s="1"/>
  <c r="BH49" i="2"/>
  <c r="H768" i="4"/>
  <c r="BK49" i="2" s="1"/>
  <c r="F770" i="4"/>
  <c r="BR49" i="2"/>
  <c r="F769" i="4"/>
  <c r="BM49" i="2"/>
  <c r="BW49" i="2"/>
  <c r="F771" i="4"/>
  <c r="H766" i="4" l="1"/>
  <c r="BA49" i="3" s="1"/>
  <c r="AY49" i="2"/>
  <c r="BS49" i="2"/>
  <c r="H770" i="4"/>
  <c r="BU49" i="2" s="1"/>
  <c r="BX49" i="2"/>
  <c r="H771" i="4"/>
  <c r="BZ49" i="2" s="1"/>
  <c r="H769" i="4"/>
  <c r="BP49" i="2" s="1"/>
  <c r="CF49" i="2" s="1"/>
  <c r="BN49" i="2"/>
  <c r="E780" i="4"/>
  <c r="G780" i="4"/>
  <c r="AF50" i="3" s="1"/>
  <c r="G781" i="4"/>
  <c r="AK50" i="3" s="1"/>
  <c r="E781" i="4"/>
  <c r="AI50" i="3" s="1"/>
  <c r="BA49" i="2" l="1"/>
  <c r="CB49" i="2" s="1"/>
  <c r="CD49" i="2" s="1"/>
  <c r="AD50" i="3"/>
  <c r="K771" i="4"/>
  <c r="E782" i="4"/>
  <c r="AN50" i="3" s="1"/>
  <c r="L771" i="4" l="1"/>
  <c r="G782" i="4"/>
  <c r="AP50" i="3" s="1"/>
  <c r="G783" i="4"/>
  <c r="AU50" i="3" s="1"/>
  <c r="E783" i="4"/>
  <c r="E787" i="4" s="1"/>
  <c r="E785" i="4" l="1"/>
  <c r="E788" i="4"/>
  <c r="E784" i="4"/>
  <c r="AX50" i="3" s="1"/>
  <c r="E789" i="4"/>
  <c r="E786" i="4"/>
  <c r="BH50" i="2" s="1"/>
  <c r="AS50" i="3"/>
  <c r="BM50" i="2"/>
  <c r="F786" i="4" l="1"/>
  <c r="BI50" i="2" s="1"/>
  <c r="F787" i="4"/>
  <c r="BN50" i="2" s="1"/>
  <c r="F784" i="4"/>
  <c r="AY50" i="3" s="1"/>
  <c r="AX50" i="2"/>
  <c r="BW50" i="2"/>
  <c r="F789" i="4"/>
  <c r="F785" i="4"/>
  <c r="BC50" i="2"/>
  <c r="F788" i="4"/>
  <c r="BR50" i="2"/>
  <c r="H786" i="4" l="1"/>
  <c r="BK50" i="2" s="1"/>
  <c r="H787" i="4"/>
  <c r="BP50" i="2" s="1"/>
  <c r="H788" i="4"/>
  <c r="BU50" i="2" s="1"/>
  <c r="BS50" i="2"/>
  <c r="BD50" i="2"/>
  <c r="H785" i="4"/>
  <c r="BF50" i="2" s="1"/>
  <c r="BX50" i="2"/>
  <c r="H789" i="4"/>
  <c r="BZ50" i="2" s="1"/>
  <c r="H784" i="4"/>
  <c r="BA50" i="3" s="1"/>
  <c r="AY50" i="2"/>
  <c r="CF50" i="2" l="1"/>
  <c r="K789" i="4"/>
  <c r="BA50" i="2"/>
  <c r="CB50" i="2" s="1"/>
  <c r="CD50" i="2" s="1"/>
  <c r="E798" i="4"/>
  <c r="G798" i="4"/>
  <c r="AF51" i="3" s="1"/>
  <c r="E799" i="4"/>
  <c r="AI51" i="3" s="1"/>
  <c r="AD51" i="3" l="1"/>
  <c r="L789" i="4"/>
  <c r="G799" i="4"/>
  <c r="AK51" i="3" s="1"/>
  <c r="E800" i="4"/>
  <c r="AN51" i="3" s="1"/>
  <c r="G800" i="4" l="1"/>
  <c r="AP51" i="3" s="1"/>
  <c r="G801" i="4"/>
  <c r="AU51" i="3" s="1"/>
  <c r="E801" i="4"/>
  <c r="E805" i="4" s="1"/>
  <c r="E803" i="4" l="1"/>
  <c r="E802" i="4"/>
  <c r="AX51" i="3" s="1"/>
  <c r="E807" i="4"/>
  <c r="E804" i="4"/>
  <c r="E806" i="4"/>
  <c r="BM51" i="2"/>
  <c r="AS51" i="3"/>
  <c r="F805" i="4" l="1"/>
  <c r="BN51" i="2" s="1"/>
  <c r="F802" i="4"/>
  <c r="AY51" i="3" s="1"/>
  <c r="AX51" i="2"/>
  <c r="BW51" i="2"/>
  <c r="F807" i="4"/>
  <c r="BC51" i="2"/>
  <c r="F803" i="4"/>
  <c r="BR51" i="2"/>
  <c r="F806" i="4"/>
  <c r="BH51" i="2"/>
  <c r="F804" i="4"/>
  <c r="H805" i="4" l="1"/>
  <c r="BP51" i="2" s="1"/>
  <c r="BD51" i="2"/>
  <c r="H803" i="4"/>
  <c r="BF51" i="2" s="1"/>
  <c r="H807" i="4"/>
  <c r="BZ51" i="2" s="1"/>
  <c r="BX51" i="2"/>
  <c r="AY51" i="2"/>
  <c r="H802" i="4"/>
  <c r="BA51" i="3" s="1"/>
  <c r="BI51" i="2"/>
  <c r="H804" i="4"/>
  <c r="BK51" i="2" s="1"/>
  <c r="H806" i="4"/>
  <c r="BU51" i="2" s="1"/>
  <c r="BS51" i="2"/>
  <c r="CF51" i="2" l="1"/>
  <c r="K807" i="4"/>
  <c r="BA51" i="2"/>
  <c r="CB51" i="2" s="1"/>
  <c r="CD51" i="2" s="1"/>
  <c r="G816" i="4"/>
  <c r="AF52" i="3" s="1"/>
  <c r="E816" i="4"/>
  <c r="G817" i="4"/>
  <c r="AK52" i="3" s="1"/>
  <c r="E817" i="4"/>
  <c r="AI52" i="3" s="1"/>
  <c r="L807" i="4" l="1"/>
  <c r="AD52" i="3"/>
  <c r="G818" i="4"/>
  <c r="AP52" i="3" s="1"/>
  <c r="E818" i="4"/>
  <c r="AN52" i="3" s="1"/>
  <c r="E819" i="4"/>
  <c r="AS52" i="3" s="1"/>
  <c r="G819" i="4"/>
  <c r="AU52" i="3" s="1"/>
  <c r="E825" i="4" l="1"/>
  <c r="E822" i="4"/>
  <c r="F822" i="4" s="1"/>
  <c r="H822" i="4" s="1"/>
  <c r="BK52" i="2" s="1"/>
  <c r="E824" i="4"/>
  <c r="E820" i="4"/>
  <c r="AX52" i="3" s="1"/>
  <c r="E823" i="4"/>
  <c r="E821" i="4"/>
  <c r="F821" i="4" s="1"/>
  <c r="H821" i="4" l="1"/>
  <c r="BF52" i="2" s="1"/>
  <c r="BD52" i="2"/>
  <c r="BI52" i="2"/>
  <c r="BC52" i="2"/>
  <c r="BH52" i="2"/>
  <c r="F824" i="4"/>
  <c r="BR52" i="2"/>
  <c r="BW52" i="2"/>
  <c r="F825" i="4"/>
  <c r="F823" i="4"/>
  <c r="BM52" i="2"/>
  <c r="F820" i="4"/>
  <c r="AY52" i="3" s="1"/>
  <c r="AX52" i="2"/>
  <c r="H820" i="4" l="1"/>
  <c r="BA52" i="3" s="1"/>
  <c r="AY52" i="2"/>
  <c r="BX52" i="2"/>
  <c r="H825" i="4"/>
  <c r="BZ52" i="2" s="1"/>
  <c r="BN52" i="2"/>
  <c r="H823" i="4"/>
  <c r="BP52" i="2" s="1"/>
  <c r="BS52" i="2"/>
  <c r="H824" i="4"/>
  <c r="BU52" i="2" s="1"/>
  <c r="CF52" i="2" s="1"/>
  <c r="K825" i="4" l="1"/>
  <c r="BA52" i="2"/>
  <c r="CB52" i="2" s="1"/>
  <c r="CD52" i="2" s="1"/>
  <c r="G834" i="4"/>
  <c r="AF55" i="3" s="1"/>
  <c r="E834" i="4"/>
  <c r="AD55" i="3" l="1"/>
  <c r="L825" i="4"/>
  <c r="E835" i="4"/>
  <c r="AI55" i="3" s="1"/>
  <c r="G835" i="4" l="1"/>
  <c r="AK55" i="3" s="1"/>
  <c r="G837" i="4" l="1"/>
  <c r="AU55" i="3" s="1"/>
  <c r="E837" i="4"/>
  <c r="AS55" i="3" s="1"/>
  <c r="AZ56" i="2" l="1"/>
  <c r="G836" i="4"/>
  <c r="AP55" i="3" s="1"/>
  <c r="E836" i="4"/>
  <c r="AX55" i="3" l="1"/>
  <c r="AN55" i="3"/>
  <c r="F838" i="4" l="1"/>
  <c r="AY55" i="3" s="1"/>
  <c r="AX56" i="2"/>
  <c r="F840" i="4"/>
  <c r="BH56" i="2"/>
  <c r="F839" i="4"/>
  <c r="BC56" i="2"/>
  <c r="F841" i="4"/>
  <c r="BM56" i="2"/>
  <c r="F842" i="4"/>
  <c r="BR56" i="2"/>
  <c r="BW56" i="2"/>
  <c r="F843" i="4"/>
  <c r="H838" i="4" l="1"/>
  <c r="BA55" i="3" s="1"/>
  <c r="AY56" i="2"/>
  <c r="BS56" i="2"/>
  <c r="H842" i="4"/>
  <c r="BU56" i="2" s="1"/>
  <c r="BX56" i="2"/>
  <c r="H843" i="4"/>
  <c r="BZ56" i="2" s="1"/>
  <c r="BI56" i="2"/>
  <c r="H840" i="4"/>
  <c r="BK56" i="2" s="1"/>
  <c r="H839" i="4"/>
  <c r="BF56" i="2" s="1"/>
  <c r="BD56" i="2"/>
  <c r="BN56" i="2"/>
  <c r="H841" i="4"/>
  <c r="BP56" i="2" s="1"/>
  <c r="BA56" i="2" l="1"/>
  <c r="CB56" i="2" s="1"/>
  <c r="CD56" i="2" s="1"/>
  <c r="K843" i="4"/>
  <c r="G891" i="4"/>
  <c r="AU58" i="3" s="1"/>
  <c r="E891" i="4"/>
  <c r="AS58" i="3" s="1"/>
  <c r="CF56" i="2" l="1"/>
  <c r="L843" i="4"/>
  <c r="G890" i="4"/>
  <c r="AP58" i="3" s="1"/>
  <c r="E890" i="4"/>
  <c r="AN58" i="3" s="1"/>
  <c r="E889" i="4" l="1"/>
  <c r="AI58" i="3" s="1"/>
  <c r="G889" i="4"/>
  <c r="AK58" i="3" s="1"/>
  <c r="E888" i="4" l="1"/>
  <c r="G888" i="4"/>
  <c r="AF58" i="3" s="1"/>
  <c r="E892" i="4" l="1"/>
  <c r="AX58" i="3" s="1"/>
  <c r="S895" i="4"/>
  <c r="S894" i="4"/>
  <c r="S896" i="4"/>
  <c r="S892" i="4"/>
  <c r="S897" i="4"/>
  <c r="S893" i="4"/>
  <c r="AD58" i="3"/>
  <c r="BR59" i="2"/>
  <c r="F896" i="4" l="1"/>
  <c r="BS59" i="2" s="1"/>
  <c r="BC59" i="2"/>
  <c r="F893" i="4"/>
  <c r="F895" i="4"/>
  <c r="BM59" i="2"/>
  <c r="F897" i="4"/>
  <c r="BW59" i="2"/>
  <c r="BH59" i="2"/>
  <c r="F894" i="4"/>
  <c r="AX59" i="2"/>
  <c r="F892" i="4"/>
  <c r="AY58" i="3" s="1"/>
  <c r="H896" i="4" l="1"/>
  <c r="BU59" i="2" s="1"/>
  <c r="BN59" i="2"/>
  <c r="H895" i="4"/>
  <c r="BP59" i="2" s="1"/>
  <c r="BI59" i="2"/>
  <c r="H894" i="4"/>
  <c r="BK59" i="2" s="1"/>
  <c r="H893" i="4"/>
  <c r="BF59" i="2" s="1"/>
  <c r="BD59" i="2"/>
  <c r="BX59" i="2"/>
  <c r="H897" i="4"/>
  <c r="BZ59" i="2" s="1"/>
  <c r="AY59" i="2"/>
  <c r="H892" i="4"/>
  <c r="BA58" i="3" s="1"/>
  <c r="K897" i="4" l="1"/>
  <c r="BA59" i="2"/>
  <c r="CB59" i="2" s="1"/>
  <c r="CD59" i="2" s="1"/>
  <c r="E906" i="4"/>
  <c r="CF59" i="2" l="1"/>
  <c r="AD59" i="3"/>
  <c r="L897" i="4"/>
  <c r="G906" i="4"/>
  <c r="AF59" i="3" s="1"/>
  <c r="G907" i="4"/>
  <c r="AK59" i="3" s="1"/>
  <c r="E907" i="4"/>
  <c r="AI59" i="3" s="1"/>
  <c r="E908" i="4" l="1"/>
  <c r="S914" i="4" l="1"/>
  <c r="AN59" i="3"/>
  <c r="G908" i="4"/>
  <c r="AP59" i="3" s="1"/>
  <c r="G909" i="4"/>
  <c r="AU59" i="3" s="1"/>
  <c r="E909" i="4"/>
  <c r="F912" i="4" s="1"/>
  <c r="F913" i="4" l="1"/>
  <c r="F915" i="4"/>
  <c r="F910" i="4"/>
  <c r="F911" i="4"/>
  <c r="F914" i="4"/>
  <c r="S910" i="4"/>
  <c r="S911" i="4"/>
  <c r="S915" i="4"/>
  <c r="S913" i="4"/>
  <c r="S912" i="4"/>
  <c r="AS59" i="3"/>
  <c r="AX59" i="3" l="1"/>
  <c r="AY59" i="3"/>
  <c r="AX60" i="2"/>
  <c r="BC60" i="2"/>
  <c r="BR60" i="2"/>
  <c r="BM60" i="2"/>
  <c r="BH60" i="2"/>
  <c r="BW60" i="2"/>
  <c r="AY60" i="2" l="1"/>
  <c r="H910" i="4"/>
  <c r="BA59" i="3" s="1"/>
  <c r="BM75" i="2"/>
  <c r="F1399" i="4"/>
  <c r="BR75" i="2"/>
  <c r="F1400" i="4"/>
  <c r="H915" i="4"/>
  <c r="BZ60" i="2" s="1"/>
  <c r="BX60" i="2"/>
  <c r="F1398" i="4"/>
  <c r="BH75" i="2"/>
  <c r="H913" i="4"/>
  <c r="BP60" i="2" s="1"/>
  <c r="BN60" i="2"/>
  <c r="BD60" i="2"/>
  <c r="H911" i="4"/>
  <c r="BF60" i="2" s="1"/>
  <c r="BC75" i="2"/>
  <c r="F1397" i="4"/>
  <c r="AX75" i="2"/>
  <c r="F1396" i="4"/>
  <c r="H914" i="4"/>
  <c r="BU60" i="2" s="1"/>
  <c r="BS60" i="2"/>
  <c r="F1401" i="4"/>
  <c r="BW75" i="2"/>
  <c r="H912" i="4"/>
  <c r="BK60" i="2" s="1"/>
  <c r="BI60" i="2"/>
  <c r="BA60" i="2" l="1"/>
  <c r="CB60" i="2" s="1"/>
  <c r="CD60" i="2" s="1"/>
  <c r="K915" i="4"/>
  <c r="BX75" i="2"/>
  <c r="H1401" i="4"/>
  <c r="BZ75" i="2" s="1"/>
  <c r="AY75" i="2"/>
  <c r="H1396" i="4"/>
  <c r="BN75" i="2"/>
  <c r="H1399" i="4"/>
  <c r="BP75" i="2" s="1"/>
  <c r="BI75" i="2"/>
  <c r="H1398" i="4"/>
  <c r="BK75" i="2" s="1"/>
  <c r="H1397" i="4"/>
  <c r="BF75" i="2" s="1"/>
  <c r="BD75" i="2"/>
  <c r="H1400" i="4"/>
  <c r="BU75" i="2" s="1"/>
  <c r="BS75" i="2"/>
  <c r="G924" i="4"/>
  <c r="AF60" i="3" s="1"/>
  <c r="E924" i="4"/>
  <c r="CF60" i="2" l="1"/>
  <c r="AD60" i="3"/>
  <c r="L915" i="4"/>
  <c r="BA75" i="2"/>
  <c r="CF75" i="2" s="1"/>
  <c r="K1401" i="4"/>
  <c r="CB75" i="2" l="1"/>
  <c r="CD75" i="2" s="1"/>
  <c r="L1401" i="4" s="1"/>
  <c r="G925" i="4"/>
  <c r="AK60" i="3" s="1"/>
  <c r="E925" i="4"/>
  <c r="AI60" i="3" l="1"/>
  <c r="G926" i="4"/>
  <c r="AP60" i="3" s="1"/>
  <c r="E926" i="4"/>
  <c r="AN60" i="3" s="1"/>
  <c r="E932" i="4" l="1"/>
  <c r="S932" i="4"/>
  <c r="S931" i="4"/>
  <c r="S933" i="4"/>
  <c r="G927" i="4"/>
  <c r="AU60" i="3" s="1"/>
  <c r="E927" i="4"/>
  <c r="S928" i="4" s="1"/>
  <c r="E929" i="4" l="1"/>
  <c r="AX60" i="3"/>
  <c r="E933" i="4"/>
  <c r="F933" i="4" s="1"/>
  <c r="BX61" i="2" s="1"/>
  <c r="E931" i="4"/>
  <c r="BM61" i="2" s="1"/>
  <c r="E930" i="4"/>
  <c r="BH61" i="2" s="1"/>
  <c r="S929" i="4"/>
  <c r="S930" i="4"/>
  <c r="AS60" i="3"/>
  <c r="F932" i="4"/>
  <c r="BC61" i="2"/>
  <c r="BW76" i="2"/>
  <c r="BR61" i="2" l="1"/>
  <c r="F929" i="4"/>
  <c r="BD61" i="2" s="1"/>
  <c r="F930" i="4"/>
  <c r="H930" i="4" s="1"/>
  <c r="BK61" i="2" s="1"/>
  <c r="F931" i="4"/>
  <c r="H931" i="4" s="1"/>
  <c r="BP61" i="2" s="1"/>
  <c r="AX61" i="2"/>
  <c r="BW61" i="2"/>
  <c r="H933" i="4"/>
  <c r="BZ61" i="2" s="1"/>
  <c r="F928" i="4"/>
  <c r="F1419" i="4"/>
  <c r="H1419" i="4" s="1"/>
  <c r="BZ76" i="2" s="1"/>
  <c r="H929" i="4"/>
  <c r="BF61" i="2" s="1"/>
  <c r="F1418" i="4"/>
  <c r="BR76" i="2"/>
  <c r="BS61" i="2"/>
  <c r="H932" i="4"/>
  <c r="BU61" i="2" s="1"/>
  <c r="AX76" i="2"/>
  <c r="F1414" i="4"/>
  <c r="F1416" i="4"/>
  <c r="BH76" i="2"/>
  <c r="F1417" i="4"/>
  <c r="BM76" i="2"/>
  <c r="BC76" i="2"/>
  <c r="F1415" i="4"/>
  <c r="H928" i="4" l="1"/>
  <c r="BA60" i="3" s="1"/>
  <c r="AY60" i="3"/>
  <c r="BN61" i="2"/>
  <c r="BI61" i="2"/>
  <c r="AY61" i="2"/>
  <c r="BX76" i="2"/>
  <c r="BI76" i="2"/>
  <c r="H1416" i="4"/>
  <c r="BK76" i="2" s="1"/>
  <c r="BD76" i="2"/>
  <c r="H1415" i="4"/>
  <c r="BF76" i="2" s="1"/>
  <c r="H1417" i="4"/>
  <c r="BP76" i="2" s="1"/>
  <c r="BN76" i="2"/>
  <c r="BS76" i="2"/>
  <c r="H1418" i="4"/>
  <c r="BU76" i="2" s="1"/>
  <c r="H1414" i="4"/>
  <c r="AY76" i="2"/>
  <c r="E942" i="4"/>
  <c r="AD61" i="3" l="1"/>
  <c r="BA61" i="2"/>
  <c r="K933" i="4"/>
  <c r="BA76" i="2"/>
  <c r="CB76" i="2" s="1"/>
  <c r="CD76" i="2" s="1"/>
  <c r="K1419" i="4"/>
  <c r="G942" i="4"/>
  <c r="AF61" i="3" s="1"/>
  <c r="G943" i="4"/>
  <c r="AK61" i="3" s="1"/>
  <c r="E943" i="4"/>
  <c r="AI61" i="3" s="1"/>
  <c r="CB61" i="2" l="1"/>
  <c r="CD61" i="2" s="1"/>
  <c r="CF61" i="2"/>
  <c r="CF76" i="2"/>
  <c r="L933" i="4"/>
  <c r="L1419" i="4"/>
  <c r="E945" i="4"/>
  <c r="AS61" i="3" s="1"/>
  <c r="G945" i="4"/>
  <c r="AU61" i="3" s="1"/>
  <c r="E944" i="4" l="1"/>
  <c r="E946" i="4" l="1"/>
  <c r="AX61" i="3" s="1"/>
  <c r="E949" i="4"/>
  <c r="E947" i="4"/>
  <c r="E950" i="4"/>
  <c r="E951" i="4"/>
  <c r="E948" i="4"/>
  <c r="S950" i="4"/>
  <c r="S948" i="4"/>
  <c r="S947" i="4"/>
  <c r="S949" i="4"/>
  <c r="S951" i="4"/>
  <c r="S946" i="4"/>
  <c r="AN61" i="3"/>
  <c r="BC63" i="2"/>
  <c r="F947" i="4" l="1"/>
  <c r="H947" i="4" s="1"/>
  <c r="BF63" i="2" s="1"/>
  <c r="F950" i="4"/>
  <c r="BR63" i="2"/>
  <c r="BR78" i="2"/>
  <c r="F1436" i="4"/>
  <c r="BM78" i="2"/>
  <c r="F1435" i="4"/>
  <c r="F946" i="4"/>
  <c r="AY61" i="3" s="1"/>
  <c r="AX63" i="2"/>
  <c r="F948" i="4"/>
  <c r="BH63" i="2"/>
  <c r="BW78" i="2"/>
  <c r="F1437" i="4"/>
  <c r="F951" i="4"/>
  <c r="BW63" i="2"/>
  <c r="BC78" i="2"/>
  <c r="F1433" i="4"/>
  <c r="F1434" i="4"/>
  <c r="BH78" i="2"/>
  <c r="BM63" i="2"/>
  <c r="F949" i="4"/>
  <c r="F1432" i="4"/>
  <c r="AX78" i="2"/>
  <c r="BD63" i="2" l="1"/>
  <c r="H1434" i="4"/>
  <c r="BK78" i="2" s="1"/>
  <c r="BI78" i="2"/>
  <c r="H951" i="4"/>
  <c r="BZ63" i="2" s="1"/>
  <c r="BX63" i="2"/>
  <c r="BS78" i="2"/>
  <c r="H1436" i="4"/>
  <c r="BU78" i="2" s="1"/>
  <c r="BS63" i="2"/>
  <c r="H950" i="4"/>
  <c r="BU63" i="2" s="1"/>
  <c r="AY78" i="2"/>
  <c r="H1432" i="4"/>
  <c r="H948" i="4"/>
  <c r="BK63" i="2" s="1"/>
  <c r="BI63" i="2"/>
  <c r="BN78" i="2"/>
  <c r="H1435" i="4"/>
  <c r="BP78" i="2" s="1"/>
  <c r="H949" i="4"/>
  <c r="BP63" i="2" s="1"/>
  <c r="BN63" i="2"/>
  <c r="H1433" i="4"/>
  <c r="BF78" i="2" s="1"/>
  <c r="BD78" i="2"/>
  <c r="BX78" i="2"/>
  <c r="H1437" i="4"/>
  <c r="BZ78" i="2" s="1"/>
  <c r="AY63" i="2"/>
  <c r="H946" i="4"/>
  <c r="BA61" i="3" s="1"/>
  <c r="CF63" i="2" l="1"/>
  <c r="K951" i="4"/>
  <c r="BA78" i="2"/>
  <c r="CB78" i="2" s="1"/>
  <c r="CD78" i="2" s="1"/>
  <c r="K1437" i="4"/>
  <c r="BA63" i="2"/>
  <c r="CB63" i="2" s="1"/>
  <c r="CD63" i="2" s="1"/>
  <c r="G944" i="4"/>
  <c r="AP61" i="3" s="1"/>
  <c r="E1014" i="4"/>
  <c r="CF78" i="2" l="1"/>
  <c r="AD65" i="3"/>
  <c r="L1437" i="4"/>
  <c r="L951" i="4"/>
  <c r="G1014" i="4"/>
  <c r="AF65" i="3" s="1"/>
  <c r="E1015" i="4"/>
  <c r="AI65" i="3" s="1"/>
  <c r="G1015" i="4" l="1"/>
  <c r="AK65" i="3" s="1"/>
  <c r="E1016" i="4"/>
  <c r="AN65" i="3" l="1"/>
  <c r="G1016" i="4"/>
  <c r="AP65" i="3" s="1"/>
  <c r="G1017" i="4"/>
  <c r="AU65" i="3" s="1"/>
  <c r="E1017" i="4"/>
  <c r="E1022" i="4" s="1"/>
  <c r="E1020" i="4" l="1"/>
  <c r="AS65" i="3"/>
  <c r="E1023" i="4"/>
  <c r="E1019" i="4"/>
  <c r="F1019" i="4" s="1"/>
  <c r="E1021" i="4"/>
  <c r="AX65" i="3"/>
  <c r="BC67" i="2" l="1"/>
  <c r="BM67" i="2"/>
  <c r="F1021" i="4"/>
  <c r="BR67" i="2"/>
  <c r="F1022" i="4"/>
  <c r="BD67" i="2"/>
  <c r="H1019" i="4"/>
  <c r="BF67" i="2" s="1"/>
  <c r="BH67" i="2"/>
  <c r="F1020" i="4"/>
  <c r="BW67" i="2"/>
  <c r="F1023" i="4"/>
  <c r="F1018" i="4"/>
  <c r="AY65" i="3" s="1"/>
  <c r="AX67" i="2"/>
  <c r="BH82" i="2" l="1"/>
  <c r="F1506" i="4"/>
  <c r="F1504" i="4"/>
  <c r="AX82" i="2"/>
  <c r="BR82" i="2"/>
  <c r="F1508" i="4"/>
  <c r="BN67" i="2"/>
  <c r="H1021" i="4"/>
  <c r="BP67" i="2" s="1"/>
  <c r="BX67" i="2"/>
  <c r="H1023" i="4"/>
  <c r="BZ67" i="2" s="1"/>
  <c r="AY67" i="2"/>
  <c r="H1018" i="4"/>
  <c r="BA65" i="3" s="1"/>
  <c r="H1020" i="4"/>
  <c r="BK67" i="2" s="1"/>
  <c r="BI67" i="2"/>
  <c r="H1022" i="4"/>
  <c r="BU67" i="2" s="1"/>
  <c r="BS67" i="2"/>
  <c r="BM82" i="2"/>
  <c r="F1507" i="4"/>
  <c r="F1505" i="4"/>
  <c r="BC82" i="2"/>
  <c r="BW82" i="2"/>
  <c r="F1509" i="4"/>
  <c r="K1023" i="4" l="1"/>
  <c r="BA67" i="2"/>
  <c r="BS82" i="2"/>
  <c r="H1508" i="4"/>
  <c r="BU82" i="2" s="1"/>
  <c r="H1506" i="4"/>
  <c r="BK82" i="2" s="1"/>
  <c r="BI82" i="2"/>
  <c r="BN82" i="2"/>
  <c r="H1507" i="4"/>
  <c r="BP82" i="2" s="1"/>
  <c r="H1504" i="4"/>
  <c r="AY82" i="2"/>
  <c r="H1509" i="4"/>
  <c r="BZ82" i="2" s="1"/>
  <c r="BX82" i="2"/>
  <c r="H1505" i="4"/>
  <c r="BF82" i="2" s="1"/>
  <c r="BD82" i="2"/>
  <c r="CB67" i="2" l="1"/>
  <c r="CD67" i="2" s="1"/>
  <c r="CF67" i="2"/>
  <c r="L1023" i="4"/>
  <c r="BA82" i="2"/>
  <c r="CB82" i="2" s="1"/>
  <c r="CD82" i="2" s="1"/>
  <c r="K1509" i="4"/>
  <c r="CF82" i="2" l="1"/>
  <c r="L1509" i="4"/>
  <c r="F1059" i="4" l="1"/>
  <c r="F1055" i="4" l="1"/>
  <c r="H1055" i="4" s="1"/>
  <c r="BF69" i="2" s="1"/>
  <c r="BR69" i="2"/>
  <c r="H1059" i="4"/>
  <c r="BZ69" i="2" s="1"/>
  <c r="BX69" i="2"/>
  <c r="BW69" i="2"/>
  <c r="F1058" i="4" l="1"/>
  <c r="BS69" i="2" s="1"/>
  <c r="BC69" i="2"/>
  <c r="BD69" i="2"/>
  <c r="BH69" i="2"/>
  <c r="F1056" i="4"/>
  <c r="BM69" i="2"/>
  <c r="F1057" i="4"/>
  <c r="AX69" i="2"/>
  <c r="F1054" i="4"/>
  <c r="AY67" i="3" s="1"/>
  <c r="H1058" i="4" l="1"/>
  <c r="BU69" i="2" s="1"/>
  <c r="H1056" i="4"/>
  <c r="BK69" i="2" s="1"/>
  <c r="BI69" i="2"/>
  <c r="AY69" i="2"/>
  <c r="H1054" i="4"/>
  <c r="BA67" i="3" s="1"/>
  <c r="BN69" i="2"/>
  <c r="H1057" i="4"/>
  <c r="BP69" i="2" s="1"/>
  <c r="K1059" i="4" l="1"/>
  <c r="BA69" i="2"/>
  <c r="CB69" i="2" s="1"/>
  <c r="CF69" i="2" l="1"/>
  <c r="CD69" i="2"/>
  <c r="L1059" i="4" s="1"/>
  <c r="F1073" i="4" l="1"/>
  <c r="BC55" i="2"/>
  <c r="AX68" i="3"/>
  <c r="BM55" i="2" l="1"/>
  <c r="F1075" i="4"/>
  <c r="BD55" i="2"/>
  <c r="H1073" i="4"/>
  <c r="BF55" i="2" s="1"/>
  <c r="BW55" i="2"/>
  <c r="F1077" i="4"/>
  <c r="F1072" i="4"/>
  <c r="AY68" i="3" s="1"/>
  <c r="AX55" i="2"/>
  <c r="F1074" i="4"/>
  <c r="BH55" i="2"/>
  <c r="BR55" i="2"/>
  <c r="F1076" i="4"/>
  <c r="BM70" i="2" l="1"/>
  <c r="F1561" i="4"/>
  <c r="BI55" i="2"/>
  <c r="H1074" i="4"/>
  <c r="BK55" i="2" s="1"/>
  <c r="F1563" i="4"/>
  <c r="BW70" i="2"/>
  <c r="BR70" i="2"/>
  <c r="F1562" i="4"/>
  <c r="BX55" i="2"/>
  <c r="H1077" i="4"/>
  <c r="BZ55" i="2" s="1"/>
  <c r="H1075" i="4"/>
  <c r="BP55" i="2" s="1"/>
  <c r="BN55" i="2"/>
  <c r="BC70" i="2"/>
  <c r="F1559" i="4"/>
  <c r="BH70" i="2"/>
  <c r="F1560" i="4"/>
  <c r="BS55" i="2"/>
  <c r="H1076" i="4"/>
  <c r="BU55" i="2" s="1"/>
  <c r="AX70" i="2"/>
  <c r="F1558" i="4"/>
  <c r="H1072" i="4"/>
  <c r="AY55" i="2"/>
  <c r="K1077" i="4" l="1"/>
  <c r="BA68" i="3"/>
  <c r="BA55" i="2"/>
  <c r="CB55" i="2" s="1"/>
  <c r="CD55" i="2" s="1"/>
  <c r="H1563" i="4"/>
  <c r="BZ70" i="2" s="1"/>
  <c r="BX70" i="2"/>
  <c r="BN70" i="2"/>
  <c r="H1561" i="4"/>
  <c r="BP70" i="2" s="1"/>
  <c r="BD70" i="2"/>
  <c r="H1559" i="4"/>
  <c r="BF70" i="2" s="1"/>
  <c r="AY70" i="2"/>
  <c r="H1558" i="4"/>
  <c r="BI70" i="2"/>
  <c r="H1560" i="4"/>
  <c r="BK70" i="2" s="1"/>
  <c r="H1562" i="4"/>
  <c r="BU70" i="2" s="1"/>
  <c r="BS70" i="2"/>
  <c r="E1086" i="4"/>
  <c r="CF55" i="2" l="1"/>
  <c r="L1077" i="4"/>
  <c r="AD70" i="3"/>
  <c r="BA70" i="2"/>
  <c r="CB70" i="2" s="1"/>
  <c r="CD70" i="2" s="1"/>
  <c r="K1563" i="4"/>
  <c r="G1086" i="4"/>
  <c r="AF70" i="3" s="1"/>
  <c r="G1087" i="4"/>
  <c r="AK70" i="3" s="1"/>
  <c r="E1087" i="4"/>
  <c r="AI70" i="3" s="1"/>
  <c r="CF70" i="2" l="1"/>
  <c r="L1563" i="4"/>
  <c r="E1088" i="4"/>
  <c r="AN70" i="3" l="1"/>
  <c r="G1088" i="4"/>
  <c r="AP70" i="3" s="1"/>
  <c r="E1089" i="4"/>
  <c r="E1090" i="4" s="1"/>
  <c r="E1094" i="4" l="1"/>
  <c r="E1091" i="4"/>
  <c r="E1093" i="4"/>
  <c r="E1095" i="4"/>
  <c r="E1092" i="4"/>
  <c r="AX70" i="3"/>
  <c r="AS70" i="3"/>
  <c r="AX85" i="2"/>
  <c r="F1090" i="4"/>
  <c r="AY70" i="3" s="1"/>
  <c r="BW85" i="2" l="1"/>
  <c r="F1095" i="4"/>
  <c r="BM85" i="2"/>
  <c r="F1093" i="4"/>
  <c r="F1092" i="4"/>
  <c r="BH85" i="2"/>
  <c r="AY85" i="2"/>
  <c r="H1090" i="4"/>
  <c r="BA70" i="3" s="1"/>
  <c r="BR85" i="2"/>
  <c r="F1094" i="4"/>
  <c r="F1091" i="4"/>
  <c r="BC85" i="2"/>
  <c r="BI85" i="2" l="1"/>
  <c r="H1092" i="4"/>
  <c r="BK85" i="2" s="1"/>
  <c r="H1095" i="4"/>
  <c r="BZ85" i="2" s="1"/>
  <c r="BX85" i="2"/>
  <c r="BS85" i="2"/>
  <c r="H1094" i="4"/>
  <c r="BU85" i="2" s="1"/>
  <c r="BA85" i="2"/>
  <c r="H1091" i="4"/>
  <c r="BF85" i="2" s="1"/>
  <c r="CF85" i="2" s="1"/>
  <c r="BD85" i="2"/>
  <c r="BN85" i="2"/>
  <c r="H1093" i="4"/>
  <c r="BP85" i="2" s="1"/>
  <c r="G1089" i="4"/>
  <c r="AU70" i="3" s="1"/>
  <c r="E1104" i="4"/>
  <c r="AD71" i="3" l="1"/>
  <c r="CB85" i="2"/>
  <c r="CD85" i="2" s="1"/>
  <c r="K1095" i="4"/>
  <c r="G1104" i="4"/>
  <c r="AF71" i="3" s="1"/>
  <c r="E1105" i="4"/>
  <c r="AI71" i="3" s="1"/>
  <c r="L1095" i="4" l="1"/>
  <c r="G1105" i="4"/>
  <c r="AK71" i="3" s="1"/>
  <c r="E1106" i="4"/>
  <c r="G1106" i="4"/>
  <c r="AP71" i="3" s="1"/>
  <c r="E1107" i="4"/>
  <c r="AS71" i="3" s="1"/>
  <c r="G1107" i="4"/>
  <c r="AU71" i="3" s="1"/>
  <c r="E1110" i="4" l="1"/>
  <c r="E1113" i="4"/>
  <c r="BW86" i="2" s="1"/>
  <c r="E1111" i="4"/>
  <c r="E1108" i="4"/>
  <c r="E1109" i="4"/>
  <c r="E1112" i="4"/>
  <c r="AN71" i="3"/>
  <c r="AX71" i="3"/>
  <c r="F1113" i="4" l="1"/>
  <c r="H1113" i="4" s="1"/>
  <c r="BZ86" i="2" s="1"/>
  <c r="BC86" i="2"/>
  <c r="F1109" i="4"/>
  <c r="F1110" i="4"/>
  <c r="BH86" i="2"/>
  <c r="BM86" i="2"/>
  <c r="F1111" i="4"/>
  <c r="BR86" i="2"/>
  <c r="F1112" i="4"/>
  <c r="F1108" i="4"/>
  <c r="AY71" i="3" s="1"/>
  <c r="AX86" i="2"/>
  <c r="BX86" i="2" l="1"/>
  <c r="BS86" i="2"/>
  <c r="H1112" i="4"/>
  <c r="BU86" i="2" s="1"/>
  <c r="H1109" i="4"/>
  <c r="BF86" i="2" s="1"/>
  <c r="BD86" i="2"/>
  <c r="H1110" i="4"/>
  <c r="BK86" i="2" s="1"/>
  <c r="BI86" i="2"/>
  <c r="AY86" i="2"/>
  <c r="H1108" i="4"/>
  <c r="BA71" i="3" s="1"/>
  <c r="BN86" i="2"/>
  <c r="H1111" i="4"/>
  <c r="BP86" i="2" s="1"/>
  <c r="CF86" i="2" l="1"/>
  <c r="K1113" i="4"/>
  <c r="BA86" i="2"/>
  <c r="CB86" i="2" s="1"/>
  <c r="CD86" i="2" s="1"/>
  <c r="E1122" i="4"/>
  <c r="G1122" i="4"/>
  <c r="AF72" i="3" s="1"/>
  <c r="E1123" i="4"/>
  <c r="AI72" i="3" s="1"/>
  <c r="AD72" i="3" l="1"/>
  <c r="L1113" i="4"/>
  <c r="G1123" i="4"/>
  <c r="AK72" i="3" s="1"/>
  <c r="E1124" i="4"/>
  <c r="AN72" i="3" s="1"/>
  <c r="G1124" i="4"/>
  <c r="AP72" i="3" s="1"/>
  <c r="E1125" i="4"/>
  <c r="AS72" i="3" s="1"/>
  <c r="E1130" i="4" l="1"/>
  <c r="E1126" i="4"/>
  <c r="AX72" i="3" s="1"/>
  <c r="E1131" i="4"/>
  <c r="E1127" i="4"/>
  <c r="E1128" i="4"/>
  <c r="E1129" i="4"/>
  <c r="BH87" i="2" l="1"/>
  <c r="F1128" i="4"/>
  <c r="F1127" i="4"/>
  <c r="BC87" i="2"/>
  <c r="F1130" i="4"/>
  <c r="BR87" i="2"/>
  <c r="AX87" i="2"/>
  <c r="F1126" i="4"/>
  <c r="AY72" i="3" s="1"/>
  <c r="F1129" i="4"/>
  <c r="BM87" i="2"/>
  <c r="F1131" i="4"/>
  <c r="BW87" i="2"/>
  <c r="H1130" i="4" l="1"/>
  <c r="BU87" i="2" s="1"/>
  <c r="BS87" i="2"/>
  <c r="BN87" i="2"/>
  <c r="H1129" i="4"/>
  <c r="BP87" i="2" s="1"/>
  <c r="BI87" i="2"/>
  <c r="H1128" i="4"/>
  <c r="BK87" i="2" s="1"/>
  <c r="BD87" i="2"/>
  <c r="H1127" i="4"/>
  <c r="BF87" i="2" s="1"/>
  <c r="AY87" i="2"/>
  <c r="H1126" i="4"/>
  <c r="BA72" i="3" s="1"/>
  <c r="H1131" i="4"/>
  <c r="BZ87" i="2" s="1"/>
  <c r="BX87" i="2"/>
  <c r="K1131" i="4" l="1"/>
  <c r="BA87" i="2"/>
  <c r="CB87" i="2" s="1"/>
  <c r="CD87" i="2" s="1"/>
  <c r="G1125" i="4"/>
  <c r="AU72" i="3" s="1"/>
  <c r="E1140" i="4"/>
  <c r="G1140" i="4"/>
  <c r="AF73" i="3" s="1"/>
  <c r="E1141" i="4"/>
  <c r="AI73" i="3" s="1"/>
  <c r="CF87" i="2" l="1"/>
  <c r="AD73" i="3"/>
  <c r="L1131" i="4"/>
  <c r="G1141" i="4"/>
  <c r="AK73" i="3" s="1"/>
  <c r="G1142" i="4"/>
  <c r="AP73" i="3" s="1"/>
  <c r="E1142" i="4"/>
  <c r="AN73" i="3" s="1"/>
  <c r="G1143" i="4"/>
  <c r="AU73" i="3" s="1"/>
  <c r="E1143" i="4"/>
  <c r="AS73" i="3" s="1"/>
  <c r="E1144" i="4" l="1"/>
  <c r="E1147" i="4"/>
  <c r="E1146" i="4"/>
  <c r="F1146" i="4" s="1"/>
  <c r="E1148" i="4"/>
  <c r="E1149" i="4"/>
  <c r="E1145" i="4"/>
  <c r="AX73" i="3"/>
  <c r="BH88" i="2" l="1"/>
  <c r="F1149" i="4"/>
  <c r="BW88" i="2"/>
  <c r="H1146" i="4"/>
  <c r="BK88" i="2" s="1"/>
  <c r="BI88" i="2"/>
  <c r="BM88" i="2"/>
  <c r="F1147" i="4"/>
  <c r="BC88" i="2"/>
  <c r="F1145" i="4"/>
  <c r="BR88" i="2"/>
  <c r="F1148" i="4"/>
  <c r="AX88" i="2"/>
  <c r="F1144" i="4"/>
  <c r="AY73" i="3" s="1"/>
  <c r="AY88" i="2" l="1"/>
  <c r="H1144" i="4"/>
  <c r="BA73" i="3" s="1"/>
  <c r="BX88" i="2"/>
  <c r="H1149" i="4"/>
  <c r="BZ88" i="2" s="1"/>
  <c r="BN88" i="2"/>
  <c r="H1147" i="4"/>
  <c r="BP88" i="2" s="1"/>
  <c r="BS88" i="2"/>
  <c r="H1148" i="4"/>
  <c r="BU88" i="2" s="1"/>
  <c r="H1145" i="4"/>
  <c r="BF88" i="2" s="1"/>
  <c r="BD88" i="2"/>
  <c r="K1149" i="4" l="1"/>
  <c r="BA88" i="2"/>
  <c r="CB88" i="2" s="1"/>
  <c r="CD88" i="2" s="1"/>
  <c r="G1176" i="4"/>
  <c r="AF75" i="3" s="1"/>
  <c r="E1176" i="4"/>
  <c r="CF88" i="2" l="1"/>
  <c r="AD75" i="3"/>
  <c r="L1149" i="4"/>
  <c r="E1177" i="4"/>
  <c r="AI75" i="3" s="1"/>
  <c r="G1177" i="4" l="1"/>
  <c r="AK75" i="3" s="1"/>
  <c r="E1178" i="4"/>
  <c r="E1184" i="4" s="1"/>
  <c r="G1178" i="4"/>
  <c r="AP75" i="3" s="1"/>
  <c r="G1179" i="4"/>
  <c r="AU75" i="3" s="1"/>
  <c r="E1179" i="4"/>
  <c r="AS75" i="3" s="1"/>
  <c r="E1185" i="4" l="1"/>
  <c r="BW91" i="2" s="1"/>
  <c r="E1180" i="4"/>
  <c r="AX75" i="3" s="1"/>
  <c r="E1182" i="4"/>
  <c r="F1182" i="4" s="1"/>
  <c r="BI91" i="2" s="1"/>
  <c r="E1181" i="4"/>
  <c r="BC91" i="2" s="1"/>
  <c r="E1183" i="4"/>
  <c r="F1183" i="4" s="1"/>
  <c r="H1183" i="4" s="1"/>
  <c r="BP91" i="2" s="1"/>
  <c r="AN75" i="3"/>
  <c r="BR91" i="2"/>
  <c r="F1181" i="4" l="1"/>
  <c r="H1181" i="4" s="1"/>
  <c r="BF91" i="2" s="1"/>
  <c r="F1180" i="4"/>
  <c r="AY75" i="3" s="1"/>
  <c r="AX91" i="2"/>
  <c r="H1182" i="4"/>
  <c r="BK91" i="2" s="1"/>
  <c r="BH91" i="2"/>
  <c r="F1185" i="4"/>
  <c r="BX91" i="2" s="1"/>
  <c r="BN91" i="2"/>
  <c r="F1184" i="4"/>
  <c r="BS91" i="2" s="1"/>
  <c r="BM91" i="2"/>
  <c r="AY91" i="2" l="1"/>
  <c r="H1184" i="4"/>
  <c r="BU91" i="2" s="1"/>
  <c r="H1185" i="4"/>
  <c r="BZ91" i="2" s="1"/>
  <c r="BD91" i="2"/>
  <c r="H1180" i="4"/>
  <c r="BA75" i="3" s="1"/>
  <c r="K1185" i="4" l="1"/>
  <c r="BA91" i="2"/>
  <c r="CB91" i="2" l="1"/>
  <c r="CD91" i="2" s="1"/>
  <c r="L1185" i="4" s="1"/>
  <c r="CF91" i="2"/>
  <c r="BW92" i="2"/>
  <c r="BM92" i="2"/>
  <c r="BC92" i="2"/>
  <c r="BR92" i="2"/>
  <c r="F1202" i="4" l="1"/>
  <c r="F1199" i="4"/>
  <c r="F1201" i="4"/>
  <c r="AX76" i="3"/>
  <c r="F1203" i="4"/>
  <c r="F1200" i="4" l="1"/>
  <c r="BH92" i="2"/>
  <c r="BS92" i="2"/>
  <c r="H1202" i="4"/>
  <c r="BU92" i="2" s="1"/>
  <c r="AX92" i="2"/>
  <c r="F1198" i="4"/>
  <c r="AY76" i="3" s="1"/>
  <c r="BX92" i="2"/>
  <c r="H1203" i="4"/>
  <c r="BZ92" i="2" s="1"/>
  <c r="BD92" i="2"/>
  <c r="H1199" i="4"/>
  <c r="BF92" i="2" s="1"/>
  <c r="H1201" i="4"/>
  <c r="BP92" i="2" s="1"/>
  <c r="BN92" i="2"/>
  <c r="BI92" i="2" l="1"/>
  <c r="H1200" i="4"/>
  <c r="BK92" i="2" s="1"/>
  <c r="H1198" i="4"/>
  <c r="AY92" i="2"/>
  <c r="K1203" i="4" l="1"/>
  <c r="BA76" i="3"/>
  <c r="BA92" i="2"/>
  <c r="E1212" i="4"/>
  <c r="G1212" i="4"/>
  <c r="AF77" i="3" s="1"/>
  <c r="E1213" i="4"/>
  <c r="AI77" i="3" s="1"/>
  <c r="CB92" i="2" l="1"/>
  <c r="CD92" i="2" s="1"/>
  <c r="L1203" i="4" s="1"/>
  <c r="CF92" i="2"/>
  <c r="AD77" i="3"/>
  <c r="G1213" i="4"/>
  <c r="AK77" i="3" s="1"/>
  <c r="E1214" i="4"/>
  <c r="AN77" i="3" s="1"/>
  <c r="G1214" i="4" l="1"/>
  <c r="AP77" i="3" s="1"/>
  <c r="E1215" i="4"/>
  <c r="E1220" i="4" l="1"/>
  <c r="E1218" i="4"/>
  <c r="F1218" i="4" s="1"/>
  <c r="E1219" i="4"/>
  <c r="E1216" i="4"/>
  <c r="AX77" i="3" s="1"/>
  <c r="E1221" i="4"/>
  <c r="E1217" i="4"/>
  <c r="AS77" i="3"/>
  <c r="BH93" i="2" l="1"/>
  <c r="AX93" i="2"/>
  <c r="F1216" i="4"/>
  <c r="AY77" i="3" s="1"/>
  <c r="F1221" i="4"/>
  <c r="BW93" i="2"/>
  <c r="BI93" i="2"/>
  <c r="H1218" i="4"/>
  <c r="BK93" i="2" s="1"/>
  <c r="BM93" i="2"/>
  <c r="F1219" i="4"/>
  <c r="BC93" i="2"/>
  <c r="F1217" i="4"/>
  <c r="BR93" i="2"/>
  <c r="F1220" i="4"/>
  <c r="H1220" i="4" l="1"/>
  <c r="BU93" i="2" s="1"/>
  <c r="BS93" i="2"/>
  <c r="BN93" i="2"/>
  <c r="H1219" i="4"/>
  <c r="BP93" i="2" s="1"/>
  <c r="AY93" i="2"/>
  <c r="H1216" i="4"/>
  <c r="BA77" i="3" s="1"/>
  <c r="H1217" i="4"/>
  <c r="BF93" i="2" s="1"/>
  <c r="BD93" i="2"/>
  <c r="H1221" i="4"/>
  <c r="BZ93" i="2" s="1"/>
  <c r="BX93" i="2"/>
  <c r="K1221" i="4" l="1"/>
  <c r="BA93" i="2"/>
  <c r="CB93" i="2" s="1"/>
  <c r="CD93" i="2" s="1"/>
  <c r="G1215" i="4"/>
  <c r="AU77" i="3" s="1"/>
  <c r="CF93" i="2" l="1"/>
  <c r="L1221" i="4"/>
  <c r="CK14" i="6"/>
  <c r="CK15" i="6" l="1"/>
  <c r="BR95" i="2" l="1"/>
  <c r="F1238" i="4"/>
  <c r="BM95" i="2" l="1"/>
  <c r="F1237" i="4"/>
  <c r="AX95" i="2"/>
  <c r="F1234" i="4"/>
  <c r="AY78" i="3" s="1"/>
  <c r="BS95" i="2"/>
  <c r="BW95" i="2"/>
  <c r="F1239" i="4"/>
  <c r="BH95" i="2"/>
  <c r="F1236" i="4"/>
  <c r="BC95" i="2"/>
  <c r="F1235" i="4"/>
  <c r="BX95" i="2" l="1"/>
  <c r="BN95" i="2"/>
  <c r="BI95" i="2"/>
  <c r="BD95" i="2"/>
  <c r="AY95" i="2"/>
  <c r="CK16" i="6" l="1"/>
  <c r="E1249" i="4"/>
  <c r="G1249" i="4"/>
  <c r="AK79" i="3" s="1"/>
  <c r="E1250" i="4"/>
  <c r="G1250" i="4"/>
  <c r="AP79" i="3" s="1"/>
  <c r="E1251" i="4"/>
  <c r="AS79" i="3" s="1"/>
  <c r="G1251" i="4"/>
  <c r="AU79" i="3" s="1"/>
  <c r="F1248" i="4"/>
  <c r="AE79" i="3" s="1"/>
  <c r="E1284" i="4"/>
  <c r="AN79" i="3" l="1"/>
  <c r="E1252" i="4"/>
  <c r="E1253" i="4" s="1"/>
  <c r="E1254" i="4" s="1"/>
  <c r="E1255" i="4" s="1"/>
  <c r="E1256" i="4" s="1"/>
  <c r="E1257" i="4" s="1"/>
  <c r="AD54" i="3"/>
  <c r="AI79" i="3"/>
  <c r="H1248" i="4"/>
  <c r="AG79" i="3" s="1"/>
  <c r="G1284" i="4"/>
  <c r="AF54" i="3" s="1"/>
  <c r="E1285" i="4"/>
  <c r="AI54" i="3" s="1"/>
  <c r="AX79" i="3" l="1"/>
  <c r="BM96" i="2"/>
  <c r="F1255" i="4"/>
  <c r="BW96" i="2"/>
  <c r="F1257" i="4"/>
  <c r="AX96" i="2"/>
  <c r="F1252" i="4"/>
  <c r="AY79" i="3" s="1"/>
  <c r="BR96" i="2"/>
  <c r="F1256" i="4"/>
  <c r="BH96" i="2"/>
  <c r="F1254" i="4"/>
  <c r="BC96" i="2"/>
  <c r="F1253" i="4"/>
  <c r="G1285" i="4"/>
  <c r="AK54" i="3" s="1"/>
  <c r="E1286" i="4"/>
  <c r="AN54" i="3" l="1"/>
  <c r="AY96" i="2"/>
  <c r="H1252" i="4"/>
  <c r="BA79" i="3" s="1"/>
  <c r="H1253" i="4"/>
  <c r="BF96" i="2" s="1"/>
  <c r="BD96" i="2"/>
  <c r="H1257" i="4"/>
  <c r="BX96" i="2"/>
  <c r="H1254" i="4"/>
  <c r="BK96" i="2" s="1"/>
  <c r="BI96" i="2"/>
  <c r="H1255" i="4"/>
  <c r="BP96" i="2" s="1"/>
  <c r="BN96" i="2"/>
  <c r="H1256" i="4"/>
  <c r="BU96" i="2" s="1"/>
  <c r="BS96" i="2"/>
  <c r="G1286" i="4"/>
  <c r="AP54" i="3" s="1"/>
  <c r="E1287" i="4"/>
  <c r="CF96" i="2" l="1"/>
  <c r="AX54" i="3"/>
  <c r="BC54" i="2"/>
  <c r="AS54" i="3"/>
  <c r="BM54" i="2"/>
  <c r="BZ96" i="2"/>
  <c r="K1257" i="4"/>
  <c r="BA96" i="2"/>
  <c r="F1289" i="4" l="1"/>
  <c r="BD54" i="2" s="1"/>
  <c r="CB96" i="2"/>
  <c r="CD96" i="2" s="1"/>
  <c r="L1257" i="4" s="1"/>
  <c r="F1291" i="4"/>
  <c r="BN54" i="2" s="1"/>
  <c r="BW54" i="2"/>
  <c r="F1293" i="4"/>
  <c r="BR54" i="2"/>
  <c r="F1292" i="4"/>
  <c r="F1288" i="4"/>
  <c r="AY54" i="3" s="1"/>
  <c r="AX54" i="2"/>
  <c r="F1290" i="4"/>
  <c r="BH54" i="2"/>
  <c r="H1289" i="4" l="1"/>
  <c r="BF54" i="2" s="1"/>
  <c r="H1291" i="4"/>
  <c r="BP54" i="2" s="1"/>
  <c r="H1290" i="4"/>
  <c r="BK54" i="2" s="1"/>
  <c r="BI54" i="2"/>
  <c r="AY54" i="2"/>
  <c r="H1288" i="4"/>
  <c r="BA54" i="3" s="1"/>
  <c r="H1292" i="4"/>
  <c r="BU54" i="2" s="1"/>
  <c r="BS54" i="2"/>
  <c r="H1293" i="4"/>
  <c r="BZ54" i="2" s="1"/>
  <c r="BX54" i="2"/>
  <c r="CF54" i="2" l="1"/>
  <c r="K1293" i="4"/>
  <c r="BA54" i="2"/>
  <c r="CB54" i="2" s="1"/>
  <c r="CD54" i="2" s="1"/>
  <c r="G1287" i="4"/>
  <c r="AU54" i="3" s="1"/>
  <c r="E1321" i="4"/>
  <c r="G1321" i="4"/>
  <c r="E1322" i="4"/>
  <c r="G1322" i="4"/>
  <c r="E1323" i="4"/>
  <c r="E1328" i="4" l="1"/>
  <c r="E1327" i="4"/>
  <c r="E1326" i="4"/>
  <c r="E1324" i="4"/>
  <c r="AX71" i="2" s="1"/>
  <c r="E1325" i="4"/>
  <c r="E1329" i="4"/>
  <c r="L1293" i="4"/>
  <c r="F1324" i="4" l="1"/>
  <c r="H1324" i="4" s="1"/>
  <c r="G1323" i="4"/>
  <c r="E1320" i="4"/>
  <c r="BR71" i="2" s="1"/>
  <c r="F1326" i="4"/>
  <c r="BA71" i="2" l="1"/>
  <c r="BC71" i="2"/>
  <c r="BM71" i="2"/>
  <c r="BW71" i="2"/>
  <c r="AY71" i="2"/>
  <c r="BI71" i="2"/>
  <c r="H1326" i="4"/>
  <c r="BK71" i="2" s="1"/>
  <c r="F1328" i="4"/>
  <c r="BH71" i="2"/>
  <c r="F1327" i="4" l="1"/>
  <c r="H1327" i="4" s="1"/>
  <c r="BP71" i="2" s="1"/>
  <c r="F1325" i="4"/>
  <c r="H1325" i="4" s="1"/>
  <c r="F1329" i="4"/>
  <c r="H1329" i="4" s="1"/>
  <c r="BZ71" i="2" s="1"/>
  <c r="BS71" i="2"/>
  <c r="H1328" i="4"/>
  <c r="BU71" i="2" s="1"/>
  <c r="G1320" i="4"/>
  <c r="E1338" i="4"/>
  <c r="G1338" i="4"/>
  <c r="E1339" i="4"/>
  <c r="G1339" i="4"/>
  <c r="E1340" i="4"/>
  <c r="G1340" i="4"/>
  <c r="E1341" i="4"/>
  <c r="BW72" i="2" l="1"/>
  <c r="BX71" i="2"/>
  <c r="BD71" i="2"/>
  <c r="BF71" i="2"/>
  <c r="CB71" i="2" s="1"/>
  <c r="CD71" i="2" s="1"/>
  <c r="K1329" i="4"/>
  <c r="BN71" i="2"/>
  <c r="L1329" i="4" l="1"/>
  <c r="F1347" i="4"/>
  <c r="BX72" i="2" s="1"/>
  <c r="F1344" i="4"/>
  <c r="BH72" i="2"/>
  <c r="AX72" i="2"/>
  <c r="F1342" i="4"/>
  <c r="F1346" i="4"/>
  <c r="BR72" i="2"/>
  <c r="F1345" i="4"/>
  <c r="BM72" i="2"/>
  <c r="BC72" i="2"/>
  <c r="F1343" i="4"/>
  <c r="H1347" i="4" l="1"/>
  <c r="BZ72" i="2" s="1"/>
  <c r="H1345" i="4"/>
  <c r="BP72" i="2" s="1"/>
  <c r="BN72" i="2"/>
  <c r="H1344" i="4"/>
  <c r="BK72" i="2" s="1"/>
  <c r="BI72" i="2"/>
  <c r="BS72" i="2"/>
  <c r="H1346" i="4"/>
  <c r="BU72" i="2" s="1"/>
  <c r="H1343" i="4"/>
  <c r="BF72" i="2" s="1"/>
  <c r="BD72" i="2"/>
  <c r="AY72" i="2"/>
  <c r="H1342" i="4"/>
  <c r="G1341" i="4"/>
  <c r="E1356" i="4"/>
  <c r="G1356" i="4"/>
  <c r="E1357" i="4"/>
  <c r="G1357" i="4"/>
  <c r="E1358" i="4"/>
  <c r="G1358" i="4"/>
  <c r="E1359" i="4"/>
  <c r="BC73" i="2" l="1"/>
  <c r="BM73" i="2"/>
  <c r="AX73" i="2"/>
  <c r="BA72" i="2"/>
  <c r="CB72" i="2" s="1"/>
  <c r="CD72" i="2" s="1"/>
  <c r="K1347" i="4"/>
  <c r="CF72" i="2" l="1"/>
  <c r="L1347" i="4"/>
  <c r="F1361" i="4"/>
  <c r="BD73" i="2" s="1"/>
  <c r="F1363" i="4"/>
  <c r="H1363" i="4" s="1"/>
  <c r="BP73" i="2" s="1"/>
  <c r="F1360" i="4"/>
  <c r="H1360" i="4" s="1"/>
  <c r="BH73" i="2"/>
  <c r="F1362" i="4"/>
  <c r="F1364" i="4"/>
  <c r="BR73" i="2"/>
  <c r="BW73" i="2"/>
  <c r="F1365" i="4"/>
  <c r="H1361" i="4" l="1"/>
  <c r="BF73" i="2" s="1"/>
  <c r="BA73" i="2"/>
  <c r="BN73" i="2"/>
  <c r="AY73" i="2"/>
  <c r="H1365" i="4"/>
  <c r="BZ73" i="2" s="1"/>
  <c r="BX73" i="2"/>
  <c r="BS73" i="2"/>
  <c r="H1364" i="4"/>
  <c r="BU73" i="2" s="1"/>
  <c r="BI73" i="2"/>
  <c r="H1362" i="4"/>
  <c r="BK73" i="2" s="1"/>
  <c r="G1359" i="4"/>
  <c r="G1355" i="4"/>
  <c r="G1373" i="4"/>
  <c r="E1374" i="4"/>
  <c r="G1374" i="4"/>
  <c r="E1375" i="4"/>
  <c r="G1375" i="4"/>
  <c r="E1376" i="4"/>
  <c r="G1376" i="4"/>
  <c r="E1377" i="4"/>
  <c r="BM74" i="2" l="1"/>
  <c r="CB73" i="2"/>
  <c r="CD73" i="2" s="1"/>
  <c r="K1365" i="4"/>
  <c r="L1365" i="4" l="1"/>
  <c r="F1381" i="4"/>
  <c r="H1381" i="4" s="1"/>
  <c r="BP74" i="2" s="1"/>
  <c r="AX74" i="2"/>
  <c r="F1378" i="4"/>
  <c r="F1379" i="4"/>
  <c r="BC74" i="2"/>
  <c r="F1382" i="4"/>
  <c r="BR74" i="2"/>
  <c r="F1383" i="4"/>
  <c r="BW74" i="2"/>
  <c r="BH74" i="2"/>
  <c r="F1380" i="4"/>
  <c r="BN74" i="2" l="1"/>
  <c r="H1378" i="4"/>
  <c r="AY74" i="2"/>
  <c r="BX74" i="2"/>
  <c r="H1383" i="4"/>
  <c r="BZ74" i="2" s="1"/>
  <c r="BD74" i="2"/>
  <c r="H1379" i="4"/>
  <c r="BF74" i="2" s="1"/>
  <c r="BS74" i="2"/>
  <c r="H1382" i="4"/>
  <c r="BU74" i="2" s="1"/>
  <c r="H1380" i="4"/>
  <c r="BK74" i="2" s="1"/>
  <c r="BI74" i="2"/>
  <c r="G1377" i="4"/>
  <c r="E1446" i="4"/>
  <c r="BA74" i="2" l="1"/>
  <c r="CB74" i="2" s="1"/>
  <c r="CD74" i="2" s="1"/>
  <c r="K1383" i="4"/>
  <c r="BR79" i="2"/>
  <c r="F1454" i="4"/>
  <c r="CF74" i="2" l="1"/>
  <c r="L1383" i="4"/>
  <c r="BC79" i="2"/>
  <c r="F1451" i="4"/>
  <c r="F1450" i="4"/>
  <c r="AX79" i="2"/>
  <c r="BS79" i="2"/>
  <c r="H1454" i="4"/>
  <c r="BU79" i="2" s="1"/>
  <c r="BM79" i="2"/>
  <c r="F1453" i="4"/>
  <c r="BW79" i="2"/>
  <c r="F1455" i="4"/>
  <c r="BH79" i="2"/>
  <c r="F1452" i="4"/>
  <c r="BX79" i="2" l="1"/>
  <c r="H1455" i="4"/>
  <c r="BZ79" i="2" s="1"/>
  <c r="BD79" i="2"/>
  <c r="H1451" i="4"/>
  <c r="BF79" i="2" s="1"/>
  <c r="AY79" i="2"/>
  <c r="H1450" i="4"/>
  <c r="BI79" i="2"/>
  <c r="H1452" i="4"/>
  <c r="BK79" i="2" s="1"/>
  <c r="H1453" i="4"/>
  <c r="BP79" i="2" s="1"/>
  <c r="BN79" i="2"/>
  <c r="G1446" i="4"/>
  <c r="G1445" i="4"/>
  <c r="E1481" i="4"/>
  <c r="G1481" i="4"/>
  <c r="E1482" i="4"/>
  <c r="BA79" i="2" l="1"/>
  <c r="CB79" i="2" s="1"/>
  <c r="CD79" i="2" s="1"/>
  <c r="K1455" i="4"/>
  <c r="F1489" i="4"/>
  <c r="BM81" i="2"/>
  <c r="CF79" i="2" l="1"/>
  <c r="L1455" i="4"/>
  <c r="BH81" i="2"/>
  <c r="F1488" i="4"/>
  <c r="BN81" i="2"/>
  <c r="H1489" i="4"/>
  <c r="BP81" i="2" s="1"/>
  <c r="F1487" i="4"/>
  <c r="BC81" i="2"/>
  <c r="BR81" i="2"/>
  <c r="F1490" i="4"/>
  <c r="F1486" i="4"/>
  <c r="AX81" i="2"/>
  <c r="F1491" i="4"/>
  <c r="BW81" i="2"/>
  <c r="H1486" i="4" l="1"/>
  <c r="AY81" i="2"/>
  <c r="H1487" i="4"/>
  <c r="BF81" i="2" s="1"/>
  <c r="BD81" i="2"/>
  <c r="BI81" i="2"/>
  <c r="H1488" i="4"/>
  <c r="BK81" i="2" s="1"/>
  <c r="BX81" i="2"/>
  <c r="H1491" i="4"/>
  <c r="BZ81" i="2" s="1"/>
  <c r="BS81" i="2"/>
  <c r="H1490" i="4"/>
  <c r="BU81" i="2" s="1"/>
  <c r="G1482" i="4"/>
  <c r="E1535" i="4"/>
  <c r="BA81" i="2" l="1"/>
  <c r="CB81" i="2" s="1"/>
  <c r="CD81" i="2" s="1"/>
  <c r="K1491" i="4"/>
  <c r="BR84" i="2"/>
  <c r="F1544" i="4"/>
  <c r="CF81" i="2" l="1"/>
  <c r="L1491" i="4"/>
  <c r="F1543" i="4"/>
  <c r="BM84" i="2"/>
  <c r="BH84" i="2"/>
  <c r="F1542" i="4"/>
  <c r="H1544" i="4"/>
  <c r="BU84" i="2" s="1"/>
  <c r="BS84" i="2"/>
  <c r="F1541" i="4"/>
  <c r="BC84" i="2"/>
  <c r="F1545" i="4"/>
  <c r="BW84" i="2"/>
  <c r="AX84" i="2"/>
  <c r="F1540" i="4"/>
  <c r="BN84" i="2" l="1"/>
  <c r="H1543" i="4"/>
  <c r="BP84" i="2" s="1"/>
  <c r="H1545" i="4"/>
  <c r="BZ84" i="2" s="1"/>
  <c r="BX84" i="2"/>
  <c r="H1541" i="4"/>
  <c r="BF84" i="2" s="1"/>
  <c r="BD84" i="2"/>
  <c r="AY84" i="2"/>
  <c r="H1540" i="4"/>
  <c r="BI84" i="2"/>
  <c r="H1542" i="4"/>
  <c r="BK84" i="2" s="1"/>
  <c r="G1535" i="4"/>
  <c r="E1571" i="4"/>
  <c r="G1571" i="4"/>
  <c r="G1572" i="4"/>
  <c r="E1572" i="4"/>
  <c r="E1573" i="4"/>
  <c r="G1573" i="4"/>
  <c r="E1574" i="4"/>
  <c r="G1574" i="4"/>
  <c r="E1575" i="4"/>
  <c r="CF84" i="2" l="1"/>
  <c r="E1579" i="4"/>
  <c r="E1578" i="4"/>
  <c r="E1576" i="4"/>
  <c r="E1577" i="4"/>
  <c r="E1581" i="4"/>
  <c r="E1580" i="4"/>
  <c r="F1580" i="4" s="1"/>
  <c r="BA84" i="2"/>
  <c r="CB84" i="2" s="1"/>
  <c r="CD84" i="2" s="1"/>
  <c r="K1545" i="4"/>
  <c r="L1545" i="4" l="1"/>
  <c r="BR89" i="2"/>
  <c r="BM89" i="2"/>
  <c r="F1579" i="4"/>
  <c r="H1580" i="4"/>
  <c r="BU89" i="2" s="1"/>
  <c r="BS89" i="2"/>
  <c r="BC89" i="2"/>
  <c r="F1577" i="4"/>
  <c r="BH89" i="2"/>
  <c r="F1578" i="4"/>
  <c r="F1581" i="4"/>
  <c r="BW89" i="2"/>
  <c r="F1576" i="4"/>
  <c r="AX89" i="2"/>
  <c r="BX89" i="2" l="1"/>
  <c r="H1581" i="4"/>
  <c r="BZ89" i="2" s="1"/>
  <c r="H1577" i="4"/>
  <c r="BF89" i="2" s="1"/>
  <c r="BD89" i="2"/>
  <c r="BN89" i="2"/>
  <c r="H1579" i="4"/>
  <c r="BP89" i="2" s="1"/>
  <c r="AY89" i="2"/>
  <c r="H1576" i="4"/>
  <c r="BI89" i="2"/>
  <c r="H1578" i="4"/>
  <c r="BK89" i="2" s="1"/>
  <c r="G1575" i="4"/>
  <c r="AX94" i="2"/>
  <c r="BR94" i="2"/>
  <c r="F1597" i="4"/>
  <c r="E1589" i="4"/>
  <c r="BA89" i="2" l="1"/>
  <c r="CB89" i="2" s="1"/>
  <c r="CD89" i="2" s="1"/>
  <c r="K1581" i="4"/>
  <c r="BN94" i="2"/>
  <c r="H1597" i="4"/>
  <c r="BP94" i="2" s="1"/>
  <c r="F1599" i="4"/>
  <c r="BW94" i="2"/>
  <c r="BM94" i="2"/>
  <c r="F1598" i="4"/>
  <c r="F1594" i="4"/>
  <c r="CF89" i="2" l="1"/>
  <c r="L1581" i="4"/>
  <c r="BC94" i="2"/>
  <c r="F1595" i="4"/>
  <c r="H1598" i="4"/>
  <c r="BU94" i="2" s="1"/>
  <c r="BS94" i="2"/>
  <c r="F1596" i="4"/>
  <c r="BH94" i="2"/>
  <c r="H1599" i="4"/>
  <c r="BZ94" i="2" s="1"/>
  <c r="BX94" i="2"/>
  <c r="AY94" i="2"/>
  <c r="H1594" i="4"/>
  <c r="BA94" i="2" l="1"/>
  <c r="BI94" i="2"/>
  <c r="H1596" i="4"/>
  <c r="BK94" i="2" s="1"/>
  <c r="H1595" i="4"/>
  <c r="BF94" i="2" s="1"/>
  <c r="CF94" i="2" s="1"/>
  <c r="BD94" i="2"/>
  <c r="G1589" i="4"/>
  <c r="E1607" i="4"/>
  <c r="G1607" i="4"/>
  <c r="E1608" i="4"/>
  <c r="G1608" i="4"/>
  <c r="E1609" i="4"/>
  <c r="G1609" i="4"/>
  <c r="E1610" i="4"/>
  <c r="G1610" i="4"/>
  <c r="E1611" i="4"/>
  <c r="E1615" i="4" l="1"/>
  <c r="E1614" i="4"/>
  <c r="E1612" i="4"/>
  <c r="E1613" i="4"/>
  <c r="BC62" i="2" s="1"/>
  <c r="E1617" i="4"/>
  <c r="E1616" i="4"/>
  <c r="CB94" i="2"/>
  <c r="CD94" i="2" s="1"/>
  <c r="K1599" i="4"/>
  <c r="L1599" i="4" l="1"/>
  <c r="F1613" i="4"/>
  <c r="BD62" i="2" s="1"/>
  <c r="BR62" i="2"/>
  <c r="F1616" i="4"/>
  <c r="BM62" i="2"/>
  <c r="F1615" i="4"/>
  <c r="BW62" i="2"/>
  <c r="F1617" i="4"/>
  <c r="BH62" i="2"/>
  <c r="F1614" i="4"/>
  <c r="AX62" i="2"/>
  <c r="F1612" i="4"/>
  <c r="H1613" i="4" l="1"/>
  <c r="BF62" i="2" s="1"/>
  <c r="H1616" i="4"/>
  <c r="BU62" i="2" s="1"/>
  <c r="BS62" i="2"/>
  <c r="BI62" i="2"/>
  <c r="H1614" i="4"/>
  <c r="BK62" i="2" s="1"/>
  <c r="H1612" i="4"/>
  <c r="AY62" i="2"/>
  <c r="BX62" i="2"/>
  <c r="H1617" i="4"/>
  <c r="BZ62" i="2" s="1"/>
  <c r="BN62" i="2"/>
  <c r="H1615" i="4"/>
  <c r="BP62" i="2" s="1"/>
  <c r="G1611" i="4"/>
  <c r="E1626" i="4"/>
  <c r="G1626" i="4"/>
  <c r="E1625" i="4"/>
  <c r="BA62" i="2" l="1"/>
  <c r="CB62" i="2" s="1"/>
  <c r="CD62" i="2" s="1"/>
  <c r="K1617" i="4"/>
  <c r="BM77" i="2"/>
  <c r="F1633" i="4"/>
  <c r="CF62" i="2" l="1"/>
  <c r="L1617" i="4"/>
  <c r="F1635" i="4"/>
  <c r="BW77" i="2"/>
  <c r="F1631" i="4"/>
  <c r="BC77" i="2"/>
  <c r="H1633" i="4"/>
  <c r="BP77" i="2" s="1"/>
  <c r="BN77" i="2"/>
  <c r="AX77" i="2"/>
  <c r="F1630" i="4"/>
  <c r="BR77" i="2"/>
  <c r="F1634" i="4"/>
  <c r="F1632" i="4"/>
  <c r="BH77" i="2"/>
  <c r="H1635" i="4" l="1"/>
  <c r="BZ77" i="2" s="1"/>
  <c r="BX77" i="2"/>
  <c r="BS77" i="2"/>
  <c r="H1634" i="4"/>
  <c r="BU77" i="2" s="1"/>
  <c r="H1632" i="4"/>
  <c r="BK77" i="2" s="1"/>
  <c r="BI77" i="2"/>
  <c r="BD77" i="2"/>
  <c r="H1631" i="4"/>
  <c r="BF77" i="2" s="1"/>
  <c r="AY77" i="2"/>
  <c r="H1630" i="4"/>
  <c r="G1625" i="4"/>
  <c r="G1799" i="4"/>
  <c r="E1799" i="4"/>
  <c r="G1798" i="4"/>
  <c r="E1798" i="4"/>
  <c r="G1797" i="4"/>
  <c r="E1797" i="4"/>
  <c r="G1796" i="4"/>
  <c r="E1796" i="4"/>
  <c r="G1795" i="4"/>
  <c r="E1795" i="4"/>
  <c r="CF77" i="2" l="1"/>
  <c r="E1854" i="4"/>
  <c r="F1854" i="4" s="1"/>
  <c r="H1854" i="4" s="1"/>
  <c r="E1818" i="4"/>
  <c r="F1818" i="4" s="1"/>
  <c r="H1818" i="4" s="1"/>
  <c r="E1836" i="4"/>
  <c r="F1836" i="4" s="1"/>
  <c r="H1836" i="4" s="1"/>
  <c r="BW42" i="2"/>
  <c r="E1800" i="4"/>
  <c r="F1800" i="4" s="1"/>
  <c r="BM42" i="2"/>
  <c r="BA77" i="2"/>
  <c r="CB77" i="2" s="1"/>
  <c r="CD77" i="2" s="1"/>
  <c r="K1635" i="4"/>
  <c r="F1859" i="4" l="1"/>
  <c r="BW45" i="2"/>
  <c r="F1855" i="4"/>
  <c r="BC45" i="2"/>
  <c r="F1837" i="4"/>
  <c r="BD44" i="2" s="1"/>
  <c r="BC44" i="2"/>
  <c r="F1858" i="4"/>
  <c r="BR45" i="2"/>
  <c r="F1821" i="4"/>
  <c r="BM43" i="2"/>
  <c r="F1857" i="4"/>
  <c r="BM45" i="2"/>
  <c r="F1841" i="4"/>
  <c r="H1841" i="4" s="1"/>
  <c r="BZ44" i="2" s="1"/>
  <c r="BW44" i="2"/>
  <c r="F1856" i="4"/>
  <c r="BH45" i="2"/>
  <c r="F1819" i="4"/>
  <c r="BC43" i="2"/>
  <c r="F1838" i="4"/>
  <c r="H1838" i="4" s="1"/>
  <c r="BK44" i="2" s="1"/>
  <c r="BH44" i="2"/>
  <c r="F1840" i="4"/>
  <c r="H1840" i="4" s="1"/>
  <c r="BU44" i="2" s="1"/>
  <c r="BR44" i="2"/>
  <c r="F1823" i="4"/>
  <c r="BW43" i="2"/>
  <c r="F1839" i="4"/>
  <c r="BM44" i="2"/>
  <c r="F1822" i="4"/>
  <c r="BR43" i="2"/>
  <c r="F1820" i="4"/>
  <c r="BH43" i="2"/>
  <c r="BX44" i="2"/>
  <c r="H1839" i="4"/>
  <c r="BP44" i="2" s="1"/>
  <c r="BN44" i="2"/>
  <c r="BI44" i="2"/>
  <c r="L1635" i="4"/>
  <c r="AX42" i="2"/>
  <c r="F1805" i="4"/>
  <c r="H1805" i="4" s="1"/>
  <c r="BZ42" i="2" s="1"/>
  <c r="F1803" i="4"/>
  <c r="H1803" i="4" s="1"/>
  <c r="BP42" i="2" s="1"/>
  <c r="BC42" i="2"/>
  <c r="F1801" i="4"/>
  <c r="AY42" i="2"/>
  <c r="H1800" i="4"/>
  <c r="F1802" i="4"/>
  <c r="BH42" i="2"/>
  <c r="BR42" i="2"/>
  <c r="F1804" i="4"/>
  <c r="H1837" i="4" l="1"/>
  <c r="BF44" i="2" s="1"/>
  <c r="H1856" i="4"/>
  <c r="BK45" i="2" s="1"/>
  <c r="BI45" i="2"/>
  <c r="H1820" i="4"/>
  <c r="BK43" i="2" s="1"/>
  <c r="BI43" i="2"/>
  <c r="H1822" i="4"/>
  <c r="BU43" i="2" s="1"/>
  <c r="BS43" i="2"/>
  <c r="H1857" i="4"/>
  <c r="BP45" i="2" s="1"/>
  <c r="BN45" i="2"/>
  <c r="H1855" i="4"/>
  <c r="BF45" i="2" s="1"/>
  <c r="BD45" i="2"/>
  <c r="H1823" i="4"/>
  <c r="BZ43" i="2" s="1"/>
  <c r="BX43" i="2"/>
  <c r="BS44" i="2"/>
  <c r="H1858" i="4"/>
  <c r="BU45" i="2" s="1"/>
  <c r="BS45" i="2"/>
  <c r="H1819" i="4"/>
  <c r="BF43" i="2" s="1"/>
  <c r="BD43" i="2"/>
  <c r="H1821" i="4"/>
  <c r="BP43" i="2" s="1"/>
  <c r="BN43" i="2"/>
  <c r="H1859" i="4"/>
  <c r="BZ45" i="2" s="1"/>
  <c r="BX45" i="2"/>
  <c r="BA42" i="2"/>
  <c r="BN42" i="2"/>
  <c r="BX42" i="2"/>
  <c r="H1804" i="4"/>
  <c r="BU42" i="2" s="1"/>
  <c r="BS42" i="2"/>
  <c r="BI42" i="2"/>
  <c r="H1802" i="4"/>
  <c r="BK42" i="2" s="1"/>
  <c r="H1801" i="4"/>
  <c r="BF42" i="2" s="1"/>
  <c r="BD42" i="2"/>
  <c r="E1871" i="4"/>
  <c r="G1871" i="4"/>
  <c r="G1870" i="4"/>
  <c r="E1870" i="4"/>
  <c r="G1869" i="4"/>
  <c r="E1869" i="4"/>
  <c r="G1868" i="4"/>
  <c r="E1868" i="4"/>
  <c r="E1867" i="4"/>
  <c r="E1872" i="4" l="1"/>
  <c r="F1872" i="4" s="1"/>
  <c r="AY98" i="2" s="1"/>
  <c r="F1874" i="4"/>
  <c r="H1874" i="4" s="1"/>
  <c r="BK98" i="2" s="1"/>
  <c r="BC98" i="2"/>
  <c r="F1876" i="4"/>
  <c r="BM98" i="2"/>
  <c r="CB42" i="2"/>
  <c r="CD42" i="2" s="1"/>
  <c r="K1805" i="4"/>
  <c r="BH98" i="2" l="1"/>
  <c r="BI98" i="2"/>
  <c r="H1872" i="4"/>
  <c r="BA98" i="2" s="1"/>
  <c r="AX98" i="2"/>
  <c r="F1875" i="4"/>
  <c r="BN98" i="2" s="1"/>
  <c r="F1873" i="4"/>
  <c r="BD98" i="2" s="1"/>
  <c r="BR98" i="2"/>
  <c r="BS98" i="2"/>
  <c r="H1876" i="4"/>
  <c r="BU98" i="2" s="1"/>
  <c r="BW98" i="2"/>
  <c r="F1877" i="4"/>
  <c r="H1873" i="4" l="1"/>
  <c r="BF98" i="2" s="1"/>
  <c r="H1875" i="4"/>
  <c r="BP98" i="2" s="1"/>
  <c r="H1877" i="4"/>
  <c r="BZ98" i="2" s="1"/>
  <c r="BX98" i="2"/>
  <c r="G1867" i="4"/>
  <c r="E280" i="4"/>
  <c r="AD20" i="3" s="1"/>
  <c r="G280" i="4"/>
  <c r="AF20" i="3" s="1"/>
  <c r="E281" i="4"/>
  <c r="AI20" i="3" s="1"/>
  <c r="G281" i="4"/>
  <c r="AK20" i="3" s="1"/>
  <c r="E282" i="4"/>
  <c r="AN20" i="3" s="1"/>
  <c r="G282" i="4"/>
  <c r="AP20" i="3" s="1"/>
  <c r="E283" i="4"/>
  <c r="E284" i="4" s="1"/>
  <c r="AS20" i="3" l="1"/>
  <c r="AX7" i="2"/>
  <c r="AX20" i="3"/>
  <c r="CB98" i="2"/>
  <c r="CD98" i="2" s="1"/>
  <c r="K1877" i="4"/>
  <c r="E404" i="4"/>
  <c r="AD28" i="3" s="1"/>
  <c r="G404" i="4"/>
  <c r="AF28" i="3" s="1"/>
  <c r="E405" i="4"/>
  <c r="AI28" i="3" s="1"/>
  <c r="G405" i="4"/>
  <c r="AK28" i="3" s="1"/>
  <c r="G406" i="4"/>
  <c r="AP28" i="3" s="1"/>
  <c r="G407" i="4"/>
  <c r="AU28" i="3" s="1"/>
  <c r="BA29" i="2"/>
  <c r="CB29" i="2" s="1"/>
  <c r="CD29" i="2" s="1"/>
  <c r="L493" i="4" s="1"/>
  <c r="AY29" i="2"/>
  <c r="G493" i="4"/>
  <c r="E493" i="4"/>
  <c r="AX33" i="3" s="1"/>
  <c r="E285" i="4" l="1"/>
  <c r="F284" i="4"/>
  <c r="AZ29" i="2"/>
  <c r="AZ33" i="3"/>
  <c r="AX29" i="2"/>
  <c r="E492" i="4"/>
  <c r="AS33" i="3" s="1"/>
  <c r="G492" i="4"/>
  <c r="AU33" i="3" s="1"/>
  <c r="G491" i="4"/>
  <c r="AP33" i="3" s="1"/>
  <c r="E491" i="4"/>
  <c r="AN33" i="3" s="1"/>
  <c r="G490" i="4"/>
  <c r="AK33" i="3" s="1"/>
  <c r="E490" i="4"/>
  <c r="AI33" i="3" s="1"/>
  <c r="G502" i="4"/>
  <c r="AF34" i="3" s="1"/>
  <c r="G503" i="4"/>
  <c r="AK34" i="3" s="1"/>
  <c r="G504" i="4"/>
  <c r="AP34" i="3" s="1"/>
  <c r="E505" i="4"/>
  <c r="AS34" i="3" s="1"/>
  <c r="G505" i="4"/>
  <c r="AU34" i="3" s="1"/>
  <c r="E520" i="4"/>
  <c r="AD35" i="3" s="1"/>
  <c r="G520" i="4"/>
  <c r="AF35" i="3" s="1"/>
  <c r="AB117" i="2"/>
  <c r="AB125" i="2" s="1"/>
  <c r="AB127" i="2" s="1"/>
  <c r="AB133" i="2" s="1"/>
  <c r="H519" i="4"/>
  <c r="AA31" i="2"/>
  <c r="F519" i="4"/>
  <c r="G519" i="4" l="1"/>
  <c r="AY20" i="3"/>
  <c r="AY7" i="2"/>
  <c r="E286" i="4"/>
  <c r="F285" i="4"/>
  <c r="H285" i="4" s="1"/>
  <c r="E506" i="4"/>
  <c r="AX34" i="3" s="1"/>
  <c r="E524" i="4"/>
  <c r="AX35" i="3" s="1"/>
  <c r="E519" i="4"/>
  <c r="V31" i="2"/>
  <c r="H518" i="4"/>
  <c r="W117" i="2"/>
  <c r="W125" i="2" s="1"/>
  <c r="W127" i="2" s="1"/>
  <c r="W133" i="2" s="1"/>
  <c r="Y31" i="2"/>
  <c r="D519" i="4"/>
  <c r="AD31" i="2"/>
  <c r="D520" i="4"/>
  <c r="AC35" i="3" s="1"/>
  <c r="G523" i="4"/>
  <c r="AU35" i="3" s="1"/>
  <c r="G522" i="4"/>
  <c r="AP35" i="3" s="1"/>
  <c r="G521" i="4"/>
  <c r="AK35" i="3" s="1"/>
  <c r="E538" i="4"/>
  <c r="AD36" i="3" s="1"/>
  <c r="G538" i="4"/>
  <c r="AF36" i="3" s="1"/>
  <c r="E539" i="4"/>
  <c r="AI36" i="3" s="1"/>
  <c r="G539" i="4"/>
  <c r="AK36" i="3" s="1"/>
  <c r="E540" i="4"/>
  <c r="AN36" i="3" s="1"/>
  <c r="G540" i="4"/>
  <c r="AP36" i="3" s="1"/>
  <c r="G541" i="4"/>
  <c r="AU36" i="3" s="1"/>
  <c r="BA32" i="2"/>
  <c r="CB32" i="2" s="1"/>
  <c r="CD32" i="2" s="1"/>
  <c r="G542" i="4"/>
  <c r="AZ36" i="3" s="1"/>
  <c r="E287" i="4" l="1"/>
  <c r="F286" i="4"/>
  <c r="H286" i="4" s="1"/>
  <c r="G518" i="4"/>
  <c r="K529" i="4"/>
  <c r="L529" i="4" s="1"/>
  <c r="AX31" i="2"/>
  <c r="AX30" i="2"/>
  <c r="F506" i="4"/>
  <c r="AY34" i="3" s="1"/>
  <c r="AZ32" i="2"/>
  <c r="E288" i="4" l="1"/>
  <c r="F287" i="4"/>
  <c r="H287" i="4" s="1"/>
  <c r="AY30" i="2"/>
  <c r="H506" i="4"/>
  <c r="E289" i="4" l="1"/>
  <c r="F289" i="4" s="1"/>
  <c r="H289" i="4" s="1"/>
  <c r="F288" i="4"/>
  <c r="H288" i="4" s="1"/>
  <c r="K511" i="4"/>
  <c r="BA34" i="3"/>
  <c r="BA30" i="2"/>
  <c r="CB30" i="2" l="1"/>
  <c r="CD30" i="2" s="1"/>
  <c r="L511" i="4" s="1"/>
  <c r="E1692" i="4"/>
  <c r="E1693" i="4"/>
  <c r="G1692" i="4"/>
  <c r="G1693" i="4"/>
  <c r="E334" i="4"/>
  <c r="AD23" i="3" s="1"/>
  <c r="E335" i="4"/>
  <c r="AI23" i="3" s="1"/>
  <c r="E336" i="4"/>
  <c r="AN23" i="3" s="1"/>
  <c r="E337" i="4"/>
  <c r="AS23" i="3" s="1"/>
  <c r="E338" i="4"/>
  <c r="AX23" i="3" s="1"/>
  <c r="AZ24" i="2" l="1"/>
  <c r="BA24" i="2" l="1"/>
  <c r="CB24" i="2" s="1"/>
  <c r="CD24" i="2" s="1"/>
  <c r="K408" i="4"/>
  <c r="F1681" i="4"/>
  <c r="Q1663" i="4" s="1"/>
  <c r="G1696" i="4"/>
  <c r="G1695" i="4"/>
  <c r="G1694" i="4"/>
  <c r="G1684" i="4"/>
  <c r="G1681" i="4"/>
  <c r="G1680" i="4"/>
  <c r="G1682" i="4"/>
  <c r="K1684" i="4"/>
  <c r="G1683" i="4"/>
  <c r="G1679" i="4"/>
  <c r="E1679" i="4"/>
  <c r="P1663" i="4" l="1"/>
  <c r="R1663" i="4"/>
  <c r="L408" i="4"/>
  <c r="G348" i="4"/>
  <c r="AK24" i="3" s="1"/>
  <c r="G349" i="4"/>
  <c r="AP24" i="3" s="1"/>
  <c r="G350" i="4"/>
  <c r="AU24" i="3" s="1"/>
  <c r="G351" i="4"/>
  <c r="AZ24" i="3" s="1"/>
  <c r="K351" i="4"/>
  <c r="L351" i="4" s="1"/>
  <c r="K1697" i="4"/>
  <c r="L1697" i="4" s="1"/>
  <c r="G1697" i="4"/>
  <c r="G395" i="4"/>
  <c r="AZ27" i="3" s="1"/>
  <c r="G394" i="4"/>
  <c r="AU27" i="3" s="1"/>
  <c r="G393" i="4"/>
  <c r="AP27" i="3" s="1"/>
  <c r="G392" i="4"/>
  <c r="AK27" i="3" s="1"/>
  <c r="K395" i="4"/>
  <c r="G391" i="4"/>
  <c r="AF27" i="3" s="1"/>
  <c r="G379" i="4"/>
  <c r="AK26" i="3" s="1"/>
  <c r="G380" i="4"/>
  <c r="AP26" i="3" s="1"/>
  <c r="G381" i="4"/>
  <c r="AU26" i="3" s="1"/>
  <c r="G382" i="4"/>
  <c r="AZ26" i="3" s="1"/>
  <c r="G335" i="4"/>
  <c r="AK23" i="3" s="1"/>
  <c r="G378" i="4"/>
  <c r="AF26" i="3" s="1"/>
  <c r="K382" i="4"/>
  <c r="P1666" i="4" l="1"/>
  <c r="G337" i="4"/>
  <c r="AU23" i="3" s="1"/>
  <c r="G336" i="4"/>
  <c r="AP23" i="3" s="1"/>
  <c r="G338" i="4"/>
  <c r="AZ23" i="3" s="1"/>
  <c r="K338" i="4"/>
  <c r="G334" i="4"/>
  <c r="AF23" i="3" s="1"/>
  <c r="AV38" i="3"/>
  <c r="AT38" i="3"/>
  <c r="AO38" i="3"/>
  <c r="AJ38" i="3"/>
  <c r="AE38" i="3"/>
  <c r="E569" i="4"/>
  <c r="AD38" i="3" s="1"/>
  <c r="AG38" i="3"/>
  <c r="AI38" i="3"/>
  <c r="E572" i="4"/>
  <c r="AS38" i="3" s="1"/>
  <c r="E571" i="4"/>
  <c r="AN38" i="3" s="1"/>
  <c r="AQ38" i="3"/>
  <c r="E570" i="4"/>
  <c r="AL38" i="3"/>
  <c r="BA80" i="3"/>
  <c r="BA82" i="3" s="1"/>
  <c r="BA90" i="3" s="1"/>
  <c r="BA92" i="3" s="1"/>
  <c r="BA98" i="3" s="1"/>
  <c r="M115" i="2"/>
  <c r="M117" i="2" s="1"/>
  <c r="M125" i="2" s="1"/>
  <c r="M127" i="2" s="1"/>
  <c r="M133" i="2" s="1"/>
  <c r="H1226" i="4"/>
  <c r="G1226" i="4" s="1"/>
  <c r="R115" i="2"/>
  <c r="R117" i="2" s="1"/>
  <c r="R125" i="2" s="1"/>
  <c r="R127" i="2" s="1"/>
  <c r="R133" i="2" s="1"/>
  <c r="H1227" i="4"/>
  <c r="G1227" i="4" s="1"/>
  <c r="Q95" i="2" s="1"/>
  <c r="P1667" i="4" l="1"/>
  <c r="Q1667" i="4" s="1"/>
  <c r="Q1666" i="4"/>
  <c r="G1234" i="4"/>
  <c r="H1234" i="4" s="1"/>
  <c r="L95" i="2"/>
  <c r="AZ95" i="2" l="1"/>
  <c r="P1668" i="4"/>
  <c r="AZ78" i="3"/>
  <c r="CK17" i="6"/>
  <c r="CK18" i="6" s="1"/>
  <c r="G1235" i="4" s="1"/>
  <c r="BA78" i="3"/>
  <c r="BA95" i="2"/>
  <c r="P1669" i="4" l="1"/>
  <c r="Q1668" i="4"/>
  <c r="CK19" i="6"/>
  <c r="G1236" i="4" s="1"/>
  <c r="BE95" i="2"/>
  <c r="H1235" i="4"/>
  <c r="CK20" i="6" l="1"/>
  <c r="G1237" i="4" s="1"/>
  <c r="P1670" i="4"/>
  <c r="Q1669" i="4"/>
  <c r="BJ95" i="2"/>
  <c r="H1236" i="4"/>
  <c r="BK95" i="2" s="1"/>
  <c r="BK115" i="2" s="1"/>
  <c r="BK117" i="2" s="1"/>
  <c r="BF95" i="2"/>
  <c r="CK21" i="6" l="1"/>
  <c r="G1238" i="4" s="1"/>
  <c r="P1671" i="4"/>
  <c r="Q1671" i="4" s="1"/>
  <c r="Q1670" i="4"/>
  <c r="H1237" i="4"/>
  <c r="BO95" i="2"/>
  <c r="BK125" i="2"/>
  <c r="BK127" i="2" s="1"/>
  <c r="BK133" i="2" s="1"/>
  <c r="B3" i="1"/>
  <c r="D3" i="1" s="1"/>
  <c r="H3" i="1" s="1"/>
  <c r="CK22" i="6" l="1"/>
  <c r="G1239" i="4" s="1"/>
  <c r="H1239" i="4" s="1"/>
  <c r="BZ95" i="2" s="1"/>
  <c r="H1238" i="4"/>
  <c r="BU95" i="2" s="1"/>
  <c r="BU115" i="2" s="1"/>
  <c r="BU117" i="2" s="1"/>
  <c r="BT95" i="2"/>
  <c r="BP95" i="2"/>
  <c r="BP115" i="2" l="1"/>
  <c r="BP117" i="2" s="1"/>
  <c r="BP125" i="2" s="1"/>
  <c r="BP127" i="2" s="1"/>
  <c r="BP133" i="2" s="1"/>
  <c r="CF95" i="2"/>
  <c r="BY95" i="2"/>
  <c r="K1239" i="4"/>
  <c r="BU125" i="2"/>
  <c r="BU127" i="2" s="1"/>
  <c r="BU133" i="2" s="1"/>
  <c r="B5" i="1"/>
  <c r="D5" i="1" s="1"/>
  <c r="H5" i="1" s="1"/>
  <c r="BZ115" i="2"/>
  <c r="BZ117" i="2" s="1"/>
  <c r="CB95" i="2"/>
  <c r="CD95" i="2" s="1"/>
  <c r="L1239" i="4" s="1"/>
  <c r="B4" i="1" l="1"/>
  <c r="D4" i="1" s="1"/>
  <c r="H4" i="1" s="1"/>
  <c r="BZ125" i="2"/>
  <c r="BZ127" i="2" s="1"/>
  <c r="BZ133" i="2" s="1"/>
  <c r="B6" i="1"/>
  <c r="D6" i="1" s="1"/>
  <c r="H6" i="1" s="1"/>
  <c r="AZ20" i="3"/>
  <c r="AZ7" i="2"/>
  <c r="H284" i="4"/>
  <c r="BA7" i="2" s="1"/>
  <c r="CB7" i="2" l="1"/>
  <c r="CD7" i="2" s="1"/>
  <c r="BA20" i="3"/>
  <c r="K284" i="4"/>
  <c r="L284" i="4" l="1"/>
  <c r="BB11" i="2"/>
  <c r="F69" i="4"/>
  <c r="BD11" i="2" s="1"/>
  <c r="H69" i="4"/>
  <c r="BF11" i="2" s="1"/>
  <c r="CB11" i="2" s="1"/>
  <c r="CD11" i="2" s="1"/>
  <c r="D51" i="4"/>
  <c r="F51" i="4" s="1"/>
  <c r="BD10" i="2" l="1"/>
  <c r="H51" i="4"/>
  <c r="K73" i="4"/>
  <c r="L73" i="4" s="1"/>
  <c r="BB10" i="2"/>
  <c r="P51" i="4"/>
  <c r="Q51" i="4" s="1"/>
  <c r="O51" i="4"/>
  <c r="K55" i="4" l="1"/>
  <c r="BF10" i="2"/>
  <c r="CF10" i="2" s="1"/>
  <c r="BF115" i="2" l="1"/>
  <c r="BF117" i="2" s="1"/>
  <c r="CB10" i="2"/>
  <c r="CD10" i="2" s="1"/>
  <c r="L55" i="4" s="1"/>
  <c r="B2" i="1" l="1"/>
  <c r="D2" i="1" s="1"/>
  <c r="H2" i="1" s="1"/>
  <c r="BF125" i="2"/>
  <c r="BF127" i="2" s="1"/>
  <c r="BF133" i="2" s="1"/>
  <c r="AW62" i="3"/>
  <c r="AW64" i="2"/>
  <c r="O1630" i="4"/>
  <c r="F964" i="4"/>
  <c r="AY64" i="2" s="1"/>
  <c r="H964" i="4" l="1"/>
  <c r="AY62" i="3"/>
  <c r="BA62" i="3" l="1"/>
  <c r="K969" i="4"/>
  <c r="BA64" i="2"/>
  <c r="CF64" i="2" s="1"/>
  <c r="CF115" i="2" s="1"/>
  <c r="BA115" i="2" l="1"/>
  <c r="BA136" i="2" s="1"/>
  <c r="CB64" i="2"/>
  <c r="CD64" i="2" s="1"/>
  <c r="L969" i="4" s="1"/>
  <c r="BA161" i="2" l="1"/>
  <c r="BA158" i="2"/>
  <c r="BA138" i="2"/>
  <c r="BF136" i="2"/>
  <c r="BA117" i="2"/>
  <c r="BA125" i="2" s="1"/>
  <c r="BA127" i="2" s="1"/>
  <c r="BA133" i="2" s="1"/>
  <c r="BF138" i="2" l="1"/>
  <c r="BF158" i="2"/>
</calcChain>
</file>

<file path=xl/comments1.xml><?xml version="1.0" encoding="utf-8"?>
<comments xmlns="http://schemas.openxmlformats.org/spreadsheetml/2006/main">
  <authors>
    <author>ServUS</author>
  </authors>
  <commentList>
    <comment ref="W20" authorId="0">
      <text>
        <r>
          <rPr>
            <b/>
            <sz val="9"/>
            <color indexed="81"/>
            <rFont val="Tahoma"/>
            <family val="2"/>
          </rPr>
          <t>ServUS:</t>
        </r>
        <r>
          <rPr>
            <sz val="9"/>
            <color indexed="81"/>
            <rFont val="Tahoma"/>
            <family val="2"/>
          </rPr>
          <t xml:space="preserve">
What catergories should capture G0154 (TF/TG/U4) for Skilled Nursing? The actuals have been properly alligned to the actual categories.
</t>
        </r>
      </text>
    </comment>
    <comment ref="A24" authorId="0">
      <text>
        <r>
          <rPr>
            <b/>
            <sz val="9"/>
            <color indexed="81"/>
            <rFont val="Tahoma"/>
            <family val="2"/>
          </rPr>
          <t>ServUS:</t>
        </r>
        <r>
          <rPr>
            <sz val="9"/>
            <color indexed="81"/>
            <rFont val="Tahoma"/>
            <family val="2"/>
          </rPr>
          <t xml:space="preserve">
What year did this service start to rollup under Art Therapies?
</t>
        </r>
      </text>
    </comment>
    <comment ref="AC40" authorId="0">
      <text>
        <r>
          <rPr>
            <b/>
            <sz val="9"/>
            <color indexed="81"/>
            <rFont val="Tahoma"/>
            <family val="2"/>
          </rPr>
          <t>ServUS:</t>
        </r>
        <r>
          <rPr>
            <sz val="9"/>
            <color indexed="81"/>
            <rFont val="Tahoma"/>
            <family val="2"/>
          </rPr>
          <t xml:space="preserve">
Moved the detail from Day HAB U3 to U5 based on the code not the name.</t>
        </r>
      </text>
    </comment>
    <comment ref="W112" authorId="0">
      <text>
        <r>
          <rPr>
            <b/>
            <sz val="9"/>
            <color indexed="81"/>
            <rFont val="Tahoma"/>
            <family val="2"/>
          </rPr>
          <t>ServUS:</t>
        </r>
        <r>
          <rPr>
            <sz val="9"/>
            <color indexed="81"/>
            <rFont val="Tahoma"/>
            <family val="2"/>
          </rPr>
          <t xml:space="preserve">
Added to balance sheet based on actuals.</t>
        </r>
      </text>
    </comment>
    <comment ref="W113" authorId="0">
      <text>
        <r>
          <rPr>
            <b/>
            <sz val="9"/>
            <color indexed="81"/>
            <rFont val="Tahoma"/>
            <family val="2"/>
          </rPr>
          <t>ServUS:</t>
        </r>
        <r>
          <rPr>
            <sz val="9"/>
            <color indexed="81"/>
            <rFont val="Tahoma"/>
            <family val="2"/>
          </rPr>
          <t xml:space="preserve">
Added to balance sheet based on actuals</t>
        </r>
      </text>
    </comment>
    <comment ref="W114" authorId="0">
      <text>
        <r>
          <rPr>
            <b/>
            <sz val="9"/>
            <color indexed="81"/>
            <rFont val="Tahoma"/>
            <family val="2"/>
          </rPr>
          <t>ServUS:</t>
        </r>
        <r>
          <rPr>
            <sz val="9"/>
            <color indexed="81"/>
            <rFont val="Tahoma"/>
            <family val="2"/>
          </rPr>
          <t xml:space="preserve">
Captured all services under Community Support Team under this listing (H0034/H0036/H0039).</t>
        </r>
      </text>
    </comment>
    <comment ref="BA136" authorId="0">
      <text>
        <r>
          <rPr>
            <b/>
            <sz val="9"/>
            <color indexed="81"/>
            <rFont val="Tahoma"/>
            <family val="2"/>
          </rPr>
          <t>ServUS:</t>
        </r>
        <r>
          <rPr>
            <sz val="9"/>
            <color indexed="81"/>
            <rFont val="Tahoma"/>
            <family val="2"/>
          </rPr>
          <t xml:space="preserve">
This is the split based the fiscal year compared the Budget amount for the fiscal year.</t>
        </r>
      </text>
    </comment>
    <comment ref="BF136" authorId="0">
      <text>
        <r>
          <rPr>
            <b/>
            <sz val="9"/>
            <color indexed="81"/>
            <rFont val="Tahoma"/>
            <family val="2"/>
          </rPr>
          <t>ServUS:</t>
        </r>
        <r>
          <rPr>
            <sz val="9"/>
            <color indexed="81"/>
            <rFont val="Tahoma"/>
            <family val="2"/>
          </rPr>
          <t xml:space="preserve">
This is the split based the fiscal year compared the Budget amount for the fiscal year.</t>
        </r>
      </text>
    </comment>
  </commentList>
</comments>
</file>

<file path=xl/comments2.xml><?xml version="1.0" encoding="utf-8"?>
<comments xmlns="http://schemas.openxmlformats.org/spreadsheetml/2006/main">
  <authors>
    <author>ServUS</author>
  </authors>
  <commentList>
    <comment ref="M85" authorId="0">
      <text>
        <r>
          <rPr>
            <b/>
            <sz val="9"/>
            <color indexed="81"/>
            <rFont val="Tahoma"/>
            <family val="2"/>
          </rPr>
          <t>ServUS:</t>
        </r>
        <r>
          <rPr>
            <sz val="9"/>
            <color indexed="81"/>
            <rFont val="Tahoma"/>
            <family val="2"/>
          </rPr>
          <t xml:space="preserve">
Updated on 2/21/2017 this detail to the actuals based on the 372s. </t>
        </r>
      </text>
    </comment>
    <comment ref="R85" authorId="0">
      <text>
        <r>
          <rPr>
            <b/>
            <sz val="9"/>
            <color indexed="81"/>
            <rFont val="Tahoma"/>
            <family val="2"/>
          </rPr>
          <t>ServUS:</t>
        </r>
        <r>
          <rPr>
            <sz val="9"/>
            <color indexed="81"/>
            <rFont val="Tahoma"/>
            <family val="2"/>
          </rPr>
          <t xml:space="preserve">
Updated detail with the 372s on 2/22/17</t>
        </r>
      </text>
    </comment>
  </commentList>
</comments>
</file>

<file path=xl/comments3.xml><?xml version="1.0" encoding="utf-8"?>
<comments xmlns="http://schemas.openxmlformats.org/spreadsheetml/2006/main">
  <authors>
    <author>Andrea Johnson</author>
  </authors>
  <commentList>
    <comment ref="P1252" authorId="0">
      <text>
        <r>
          <rPr>
            <b/>
            <sz val="9"/>
            <color indexed="81"/>
            <rFont val="Tahoma"/>
            <family val="2"/>
          </rPr>
          <t>Andrea Johnson:</t>
        </r>
        <r>
          <rPr>
            <sz val="9"/>
            <color indexed="81"/>
            <rFont val="Tahoma"/>
            <family val="2"/>
          </rPr>
          <t xml:space="preserve">
The ppl &amp; hours are based on the people times the number of the hours they are expected to utilized.</t>
        </r>
      </text>
    </comment>
    <comment ref="P1648" authorId="0">
      <text>
        <r>
          <rPr>
            <b/>
            <sz val="9"/>
            <color indexed="81"/>
            <rFont val="Tahoma"/>
            <family val="2"/>
          </rPr>
          <t>Andrea Johnson:</t>
        </r>
        <r>
          <rPr>
            <sz val="9"/>
            <color indexed="81"/>
            <rFont val="Tahoma"/>
            <family val="2"/>
          </rPr>
          <t xml:space="preserve">
The ppl &amp; hours are based on the people times the number of the hours they are expected to utilized.</t>
        </r>
      </text>
    </comment>
    <comment ref="P1746" authorId="0">
      <text>
        <r>
          <rPr>
            <b/>
            <sz val="9"/>
            <color indexed="81"/>
            <rFont val="Tahoma"/>
            <family val="2"/>
          </rPr>
          <t>Andrea Johnson:</t>
        </r>
        <r>
          <rPr>
            <sz val="9"/>
            <color indexed="81"/>
            <rFont val="Tahoma"/>
            <family val="2"/>
          </rPr>
          <t xml:space="preserve">
The ppl &amp; hours are based on the people times the number of the hours they are expected to utilized.</t>
        </r>
      </text>
    </comment>
    <comment ref="P1764" authorId="0">
      <text>
        <r>
          <rPr>
            <b/>
            <sz val="9"/>
            <color indexed="81"/>
            <rFont val="Tahoma"/>
            <family val="2"/>
          </rPr>
          <t>Andrea Johnson:</t>
        </r>
        <r>
          <rPr>
            <sz val="9"/>
            <color indexed="81"/>
            <rFont val="Tahoma"/>
            <family val="2"/>
          </rPr>
          <t xml:space="preserve">
The ppl &amp; hours are based on the people times the number of the hours they are expected to utilized.</t>
        </r>
      </text>
    </comment>
    <comment ref="P1782" authorId="0">
      <text>
        <r>
          <rPr>
            <b/>
            <sz val="9"/>
            <color indexed="81"/>
            <rFont val="Tahoma"/>
            <family val="2"/>
          </rPr>
          <t>Andrea Johnson:</t>
        </r>
        <r>
          <rPr>
            <sz val="9"/>
            <color indexed="81"/>
            <rFont val="Tahoma"/>
            <family val="2"/>
          </rPr>
          <t xml:space="preserve">
The ppl &amp; hours are based on the people times the number of the hours they are expected to utilized.</t>
        </r>
      </text>
    </comment>
  </commentList>
</comments>
</file>

<file path=xl/comments4.xml><?xml version="1.0" encoding="utf-8"?>
<comments xmlns="http://schemas.openxmlformats.org/spreadsheetml/2006/main">
  <authors>
    <author>ServUS</author>
  </authors>
  <commentList>
    <comment ref="R8" authorId="0">
      <text>
        <r>
          <rPr>
            <b/>
            <sz val="9"/>
            <color indexed="81"/>
            <rFont val="Tahoma"/>
            <family val="2"/>
          </rPr>
          <t>Andrea J:</t>
        </r>
        <r>
          <rPr>
            <sz val="9"/>
            <color indexed="81"/>
            <rFont val="Tahoma"/>
            <family val="2"/>
          </rPr>
          <t xml:space="preserve">
Should this assumption be changed to a trend? Used the trend and the results were dractically decreasing the D' &amp; G' even when using WY6-9 as the data point. Decided to use the Nursing Facility Market Basket as the increase. </t>
        </r>
      </text>
    </comment>
    <comment ref="B19" authorId="0">
      <text>
        <r>
          <rPr>
            <b/>
            <sz val="9"/>
            <color indexed="81"/>
            <rFont val="Tahoma"/>
            <family val="2"/>
          </rPr>
          <t>ServUS:</t>
        </r>
        <r>
          <rPr>
            <sz val="9"/>
            <color indexed="81"/>
            <rFont val="Tahoma"/>
            <family val="2"/>
          </rPr>
          <t xml:space="preserve">
Are these unduplicated participants supposed to be cumulative? These amounts are considered cumulative.</t>
        </r>
      </text>
    </comment>
  </commentList>
</comments>
</file>

<file path=xl/comments5.xml><?xml version="1.0" encoding="utf-8"?>
<comments xmlns="http://schemas.openxmlformats.org/spreadsheetml/2006/main">
  <authors>
    <author>ServUS</author>
  </authors>
  <commentList>
    <comment ref="B11" authorId="0">
      <text>
        <r>
          <rPr>
            <b/>
            <sz val="9"/>
            <color indexed="81"/>
            <rFont val="Tahoma"/>
            <family val="2"/>
          </rPr>
          <t>ServUS:</t>
        </r>
        <r>
          <rPr>
            <sz val="9"/>
            <color indexed="81"/>
            <rFont val="Tahoma"/>
            <family val="2"/>
          </rPr>
          <t xml:space="preserve">
Updated the calculation to increase WY 4 by 1.003% and WY 5 by 2.2%
</t>
        </r>
      </text>
    </comment>
    <comment ref="AM11" authorId="0">
      <text>
        <r>
          <rPr>
            <b/>
            <sz val="9"/>
            <color indexed="81"/>
            <rFont val="Tahoma"/>
            <family val="2"/>
          </rPr>
          <t>ServUS:</t>
        </r>
        <r>
          <rPr>
            <sz val="9"/>
            <color indexed="81"/>
            <rFont val="Tahoma"/>
            <family val="2"/>
          </rPr>
          <t xml:space="preserve">
Should this service be separated into Third Party $ 5.06 &amp; Meals provided by day $7.37?
See the individual listing with the meal services.</t>
        </r>
      </text>
    </comment>
    <comment ref="CY11" authorId="0">
      <text>
        <r>
          <rPr>
            <b/>
            <sz val="9"/>
            <color indexed="81"/>
            <rFont val="Tahoma"/>
            <family val="2"/>
          </rPr>
          <t>ServUS:</t>
        </r>
        <r>
          <rPr>
            <sz val="9"/>
            <color indexed="81"/>
            <rFont val="Tahoma"/>
            <family val="2"/>
          </rPr>
          <t xml:space="preserve">
Service Deleted</t>
        </r>
      </text>
    </comment>
    <comment ref="D14" authorId="0">
      <text>
        <r>
          <rPr>
            <b/>
            <sz val="9"/>
            <color indexed="81"/>
            <rFont val="Tahoma"/>
            <family val="2"/>
          </rPr>
          <t>ServUS:</t>
        </r>
        <r>
          <rPr>
            <sz val="9"/>
            <color indexed="81"/>
            <rFont val="Tahoma"/>
            <family val="2"/>
          </rPr>
          <t xml:space="preserve">
Rate was missing so DDS confirmed on 12/21/2015 that 15.00 was the correct rate that should be entered for WY 2.</t>
        </r>
      </text>
    </comment>
    <comment ref="A17" authorId="0">
      <text>
        <r>
          <rPr>
            <b/>
            <sz val="9"/>
            <color indexed="81"/>
            <rFont val="Tahoma"/>
            <family val="2"/>
          </rPr>
          <t>ServUS:</t>
        </r>
        <r>
          <rPr>
            <sz val="9"/>
            <color indexed="81"/>
            <rFont val="Tahoma"/>
            <family val="2"/>
          </rPr>
          <t xml:space="preserve">
Requested actual rates from ORRFA on 3/13/2017. The updated rates were provided by LTC.</t>
        </r>
      </text>
    </comment>
    <comment ref="CK17" authorId="0">
      <text>
        <r>
          <rPr>
            <b/>
            <sz val="9"/>
            <color indexed="81"/>
            <rFont val="Tahoma"/>
            <family val="2"/>
          </rPr>
          <t>ServUS:</t>
        </r>
        <r>
          <rPr>
            <sz val="9"/>
            <color indexed="81"/>
            <rFont val="Tahoma"/>
            <family val="2"/>
          </rPr>
          <t xml:space="preserve">
This is the avg of Dental visits for aduts &amp; children not based on the individual rate in the fee schedule based on the procedure codes.</t>
        </r>
      </text>
    </comment>
    <comment ref="A18" authorId="0">
      <text>
        <r>
          <rPr>
            <b/>
            <sz val="9"/>
            <color indexed="81"/>
            <rFont val="Tahoma"/>
            <family val="2"/>
          </rPr>
          <t>ServUS:</t>
        </r>
        <r>
          <rPr>
            <sz val="9"/>
            <color indexed="81"/>
            <rFont val="Tahoma"/>
            <family val="2"/>
          </rPr>
          <t xml:space="preserve">
The services highlighted in yellow are the rates that have been provided by DDS on 3/13/2017.</t>
        </r>
      </text>
    </comment>
  </commentList>
</comments>
</file>

<file path=xl/comments6.xml><?xml version="1.0" encoding="utf-8"?>
<comments xmlns="http://schemas.openxmlformats.org/spreadsheetml/2006/main">
  <authors>
    <author>ServUS</author>
  </authors>
  <commentList>
    <comment ref="D11" authorId="0">
      <text>
        <r>
          <rPr>
            <b/>
            <sz val="9"/>
            <color indexed="81"/>
            <rFont val="Tahoma"/>
            <family val="2"/>
          </rPr>
          <t>ServUS:</t>
        </r>
        <r>
          <rPr>
            <sz val="9"/>
            <color indexed="81"/>
            <rFont val="Tahoma"/>
            <family val="2"/>
          </rPr>
          <t xml:space="preserve">
Requested actual rates from ORRFA on 3/13/2017. The updated rates were provided by LTC.</t>
        </r>
      </text>
    </comment>
    <comment ref="E11" authorId="0">
      <text>
        <r>
          <rPr>
            <b/>
            <sz val="9"/>
            <color indexed="81"/>
            <rFont val="Tahoma"/>
            <family val="2"/>
          </rPr>
          <t>ServUS:</t>
        </r>
        <r>
          <rPr>
            <sz val="9"/>
            <color indexed="81"/>
            <rFont val="Tahoma"/>
            <family val="2"/>
          </rPr>
          <t xml:space="preserve">
The services highlighted in yellow are the rates that have been provided by DDS on 3/13/2017.</t>
        </r>
      </text>
    </comment>
    <comment ref="A12" authorId="0">
      <text>
        <r>
          <rPr>
            <b/>
            <sz val="9"/>
            <color indexed="81"/>
            <rFont val="Tahoma"/>
            <family val="2"/>
          </rPr>
          <t>ServUS:</t>
        </r>
        <r>
          <rPr>
            <sz val="9"/>
            <color indexed="81"/>
            <rFont val="Tahoma"/>
            <family val="2"/>
          </rPr>
          <t xml:space="preserve">
Updated the calculation to increase WY 4 by 1.003% and WY 5 by 2.2%
</t>
        </r>
      </text>
    </comment>
    <comment ref="A49" authorId="0">
      <text>
        <r>
          <rPr>
            <b/>
            <sz val="9"/>
            <color indexed="81"/>
            <rFont val="Tahoma"/>
            <family val="2"/>
          </rPr>
          <t>ServUS:</t>
        </r>
        <r>
          <rPr>
            <sz val="9"/>
            <color indexed="81"/>
            <rFont val="Tahoma"/>
            <family val="2"/>
          </rPr>
          <t xml:space="preserve">
Should this service be separated into Third Party $ 5.06 &amp; Meals provided by day $7.37?
See the individual listing with the meal services.</t>
        </r>
      </text>
    </comment>
    <comment ref="D99" authorId="0">
      <text>
        <r>
          <rPr>
            <b/>
            <sz val="9"/>
            <color indexed="81"/>
            <rFont val="Tahoma"/>
            <family val="2"/>
          </rPr>
          <t>ServUS:</t>
        </r>
        <r>
          <rPr>
            <sz val="9"/>
            <color indexed="81"/>
            <rFont val="Tahoma"/>
            <family val="2"/>
          </rPr>
          <t xml:space="preserve">
This is the avg of Dental visits for aduts &amp; children not based on the individual rate in the fee schedule based on the procedure codes.</t>
        </r>
      </text>
    </comment>
    <comment ref="A113" authorId="0">
      <text>
        <r>
          <rPr>
            <b/>
            <sz val="9"/>
            <color indexed="81"/>
            <rFont val="Tahoma"/>
            <family val="2"/>
          </rPr>
          <t>ServUS:</t>
        </r>
        <r>
          <rPr>
            <sz val="9"/>
            <color indexed="81"/>
            <rFont val="Tahoma"/>
            <family val="2"/>
          </rPr>
          <t xml:space="preserve">
Service Deleted</t>
        </r>
      </text>
    </comment>
  </commentList>
</comments>
</file>

<file path=xl/sharedStrings.xml><?xml version="1.0" encoding="utf-8"?>
<sst xmlns="http://schemas.openxmlformats.org/spreadsheetml/2006/main" count="4284" uniqueCount="1166">
  <si>
    <t>Day Habilitation</t>
  </si>
  <si>
    <t>Companion</t>
  </si>
  <si>
    <t>Companion Group</t>
  </si>
  <si>
    <t>Day Habilitation Sm Group</t>
  </si>
  <si>
    <t>Day Hab Meal Modifier</t>
  </si>
  <si>
    <t>Indivualized Day Meal Mod</t>
  </si>
  <si>
    <t>Individualized Day Meal Modifier</t>
  </si>
  <si>
    <t>includes delivery</t>
  </si>
  <si>
    <t>New Rates for Year 2 Unit Cost (DDS)</t>
  </si>
  <si>
    <t>New Rates for Year 3 Unit Cost (+increase) (DDS)</t>
  </si>
  <si>
    <t>11/20/12 - 11/19/13</t>
  </si>
  <si>
    <t>11/20/13 - 11/19/14</t>
  </si>
  <si>
    <t>11/20/2014 - 11/19/2015</t>
  </si>
  <si>
    <t>11/20/2015 - 11/19/2016</t>
  </si>
  <si>
    <t>11/20/2016 - 11/19/2017</t>
  </si>
  <si>
    <t>Pre-Vocational / Employment Readiness</t>
  </si>
  <si>
    <t>Live-In Caregiver / Shared Living</t>
  </si>
  <si>
    <t>CPI Estimates</t>
  </si>
  <si>
    <t>WY 4</t>
  </si>
  <si>
    <t>Day Habilitation Lg Facility</t>
  </si>
  <si>
    <t>Day Hab Lg Facility one to one</t>
  </si>
  <si>
    <t>Arts Therapies (Art Therapy) group</t>
  </si>
  <si>
    <t>Arts Therapies (Dance Therapy) group</t>
  </si>
  <si>
    <t>Arts Therapies (Drama Therapy) group</t>
  </si>
  <si>
    <t>Arts Therapies (Music Therapy) group</t>
  </si>
  <si>
    <t>Wellness Services (Fitness Trainer) group</t>
  </si>
  <si>
    <t>Waiver Enrollees</t>
  </si>
  <si>
    <t>Enrol. Growth</t>
  </si>
  <si>
    <t>One-Time Transitional Services</t>
  </si>
  <si>
    <t>Supported Living 3 Res (Basic 1) w/ Transportation</t>
  </si>
  <si>
    <t>Supported Living 3 Res (Basic 2) w/ Transportation</t>
  </si>
  <si>
    <t>Supported Living 3 Res (Moderate 1) w/ Transportation</t>
  </si>
  <si>
    <t>Supported Living 3 Res (Moderate 2) w/ Transportation</t>
  </si>
  <si>
    <t>Supported Living 3 Res (Intensive 1) w/ Transportation</t>
  </si>
  <si>
    <t>Supported Living 3 Res (Intensive 2) w/ Transportation</t>
  </si>
  <si>
    <t>Supported Living 2 Res (Basic 1) w/ Transportation</t>
  </si>
  <si>
    <t>Supported Living 2 Res (Basic 2) w/ Transportation</t>
  </si>
  <si>
    <t>Supported Living 2 Res (Moderate 1) w/ Transportation</t>
  </si>
  <si>
    <t>Supported Living 2 Res (Moderate 2) w/ Transportation</t>
  </si>
  <si>
    <t>Supported Living 2 Res (Intensive 1) w/ Transportation</t>
  </si>
  <si>
    <t>Supported Living 1 Res (Periodic) w/ Transportation</t>
  </si>
  <si>
    <t>45 minutes</t>
  </si>
  <si>
    <t>Supported Living 1 Res (Awake Overnt) w/ Transportation</t>
  </si>
  <si>
    <t>Supported Living 1 Res (Asleep Overnt) w/ Transportation</t>
  </si>
  <si>
    <t>WY 5</t>
  </si>
  <si>
    <t>Supported Living 1 Res (Asleep Overnt)</t>
  </si>
  <si>
    <t>Monthly</t>
  </si>
  <si>
    <t>1 month</t>
  </si>
  <si>
    <t>Res Hab 4 Intensive w/ 24 hr LPN</t>
  </si>
  <si>
    <t>Res Hab 5-6 Intensive w/ 24 hr LPN</t>
  </si>
  <si>
    <t xml:space="preserve">Supported Living 3 Intensive w/ LPN </t>
  </si>
  <si>
    <t>Supported Living 3 Intensive w/ LPN w/ Transportation</t>
  </si>
  <si>
    <t>Professional Services (Acupuncture)</t>
  </si>
  <si>
    <t>Professional Services (Acu. w/ Electric Stim)</t>
  </si>
  <si>
    <t>Professional Services (Music Therapy)</t>
  </si>
  <si>
    <t>Behavior Support (Diag Assesment)</t>
  </si>
  <si>
    <t>Behavior Support (Paraprofessional Srvcs)</t>
  </si>
  <si>
    <t>Support Employment (Assesment Prof)</t>
  </si>
  <si>
    <t>Support Employment (Assesment Paraprof)</t>
  </si>
  <si>
    <t>Support Employment (Placement Prof)</t>
  </si>
  <si>
    <t>Support Employment (Placement Paraprof)</t>
  </si>
  <si>
    <t>Support Employment (Training Prof)</t>
  </si>
  <si>
    <t>Support Employment (Training Paraprof)</t>
  </si>
  <si>
    <t>Supported Living 1 Res (Awake Overnight)</t>
  </si>
  <si>
    <t>Supported Living 1 Res (Asleep Overnight)</t>
  </si>
  <si>
    <t>Residential Habilitation 4 Res (Basic)</t>
  </si>
  <si>
    <t>Residential Habilitation 4 Res (Moderate)</t>
  </si>
  <si>
    <t>Residential Habilitation 4 Res (Enhanced)</t>
  </si>
  <si>
    <t>Residential Habilitation 4 Res (Intensive)</t>
  </si>
  <si>
    <t>Residential Habilitation 5-6 Res (Basic)</t>
  </si>
  <si>
    <t>Residential Habilitation 5-6 Res (Moderate)</t>
  </si>
  <si>
    <t>Residential Habilitation 5-6 Res (Enhanced)</t>
  </si>
  <si>
    <t>Residential Habilitation 5-6 Res (Intensive)</t>
  </si>
  <si>
    <t>Host Home (Residential Care - High UC)</t>
  </si>
  <si>
    <t>Host Home (Residential Care - High UD)</t>
  </si>
  <si>
    <t>Individualized Day</t>
  </si>
  <si>
    <t>Supported Living w/ Transportation</t>
  </si>
  <si>
    <t>Group Supported Employment</t>
  </si>
  <si>
    <t>Long-Term FU Supported Employment</t>
  </si>
  <si>
    <t>Long Term FU Supported Employment</t>
  </si>
  <si>
    <t>Total D+D'</t>
  </si>
  <si>
    <t>Total G + G'</t>
  </si>
  <si>
    <t>Difference</t>
  </si>
  <si>
    <t>Growth % corresponds with estimated participant increase figures given.</t>
  </si>
  <si>
    <t>Wellness Services (Fitness Trainer)</t>
  </si>
  <si>
    <t>Shared Living</t>
  </si>
  <si>
    <t>Employment Readiness</t>
  </si>
  <si>
    <t>Transportation Community Access</t>
  </si>
  <si>
    <t>Wellness Services (Massage Thrpy)</t>
  </si>
  <si>
    <t>Wellness Services (Sex Ed)</t>
  </si>
  <si>
    <t>Wellness Services (Bereavement Counseling)</t>
  </si>
  <si>
    <t>Wellness Services (Nutritional Counseling)</t>
  </si>
  <si>
    <t>Arts Therapies (Art Therapy)</t>
  </si>
  <si>
    <t>Arts Therapies (Dance Therapy)</t>
  </si>
  <si>
    <t>Arts Therapies (Drama Therapy)</t>
  </si>
  <si>
    <t>Arts Therapies (Music Therapy)</t>
  </si>
  <si>
    <t>Host Home (Residential Care - Basic)</t>
  </si>
  <si>
    <t>Host Home (Residential Care - Med)</t>
  </si>
  <si>
    <t>Transitional Services</t>
  </si>
  <si>
    <t xml:space="preserve">Day Habilitation </t>
  </si>
  <si>
    <t>Day Habilitation (One to one)</t>
  </si>
  <si>
    <t>Pre-Vocational</t>
  </si>
  <si>
    <t>Support Emplymt (Assessment Prof)</t>
  </si>
  <si>
    <t>Support Emplymt (Assessment Paraprof)</t>
  </si>
  <si>
    <t>Support Emplymt (Placement Prof)</t>
  </si>
  <si>
    <t>Support Emplymt (Placement Paraprof)</t>
  </si>
  <si>
    <t>Support Emplymt (Training Prof)</t>
  </si>
  <si>
    <t>Support Emplymt (Training Paraprof)</t>
  </si>
  <si>
    <t>Supported Living 3 Res (Basic 1)</t>
  </si>
  <si>
    <t>Supported Living 3 Res (Basic 2)</t>
  </si>
  <si>
    <t>Supported Living 3 Res (Moderate 1)</t>
  </si>
  <si>
    <t>Supported Living 3 Res (Moderate 2)</t>
  </si>
  <si>
    <t>Supported Living 3 Res (Intensive 1)</t>
  </si>
  <si>
    <t>Supported Living 3 Res (Intensive 2)</t>
  </si>
  <si>
    <t>Supported Living 2 Res (Basic 1)</t>
  </si>
  <si>
    <t>Supported Living 2 Res (Basic 2)</t>
  </si>
  <si>
    <t>Supported Living 2 Res (Moderate 1)</t>
  </si>
  <si>
    <t>Supported Living 2 Res (Moderate 2)</t>
  </si>
  <si>
    <t>Supported Living 2 Res (Intensive 1)</t>
  </si>
  <si>
    <t>Supported Living 1 Res (Awake Overnt)</t>
  </si>
  <si>
    <t>Supported Living 1 Res (Periodic)</t>
  </si>
  <si>
    <t>Resident Habilitation 4 Res (Basic)</t>
  </si>
  <si>
    <t>Resident Habilitation 4 Res (Moderate)</t>
  </si>
  <si>
    <t>Resident Habilitation 4 Res (Enhanced)</t>
  </si>
  <si>
    <t>Resident Habilitation 4 Res (Intensive)</t>
  </si>
  <si>
    <t>Resident Habilitation 5-6 Res (Basic)</t>
  </si>
  <si>
    <t>Resident Habilitation 5-6 Res (Moderate)</t>
  </si>
  <si>
    <t>Resident Habilitation 5-6 Res (Enhanced)</t>
  </si>
  <si>
    <t>Resident Habilitation 5-6 Res (Intensive)</t>
  </si>
  <si>
    <t>Assessment</t>
  </si>
  <si>
    <t>1 hour</t>
  </si>
  <si>
    <t>Initial assessment</t>
  </si>
  <si>
    <t>PERS (Installation &amp; Testing)</t>
  </si>
  <si>
    <t>PERS (Monthly Service)</t>
  </si>
  <si>
    <t>Service Fee</t>
  </si>
  <si>
    <t>1 day</t>
  </si>
  <si>
    <t>Waiver</t>
  </si>
  <si>
    <t>1 unit</t>
  </si>
  <si>
    <t>Assistance</t>
  </si>
  <si>
    <t>Dental Services</t>
  </si>
  <si>
    <t>11/20/07 - 11/19/08</t>
  </si>
  <si>
    <t>11/20/08-11/19/09</t>
  </si>
  <si>
    <t>11/20/09-11/19/10</t>
  </si>
  <si>
    <t>11/20/10-11/19/11</t>
  </si>
  <si>
    <t>11/20/11-11/19/12</t>
  </si>
  <si>
    <t>Family Training (N)</t>
  </si>
  <si>
    <t>Professional Services (Dance Therapy)</t>
  </si>
  <si>
    <t>Professional Services (Drama Therapy)</t>
  </si>
  <si>
    <t>Service</t>
  </si>
  <si>
    <t>Personal Care</t>
  </si>
  <si>
    <t>Distinction</t>
  </si>
  <si>
    <t>Unit</t>
  </si>
  <si>
    <t>15 minutes</t>
  </si>
  <si>
    <t>flat rate</t>
  </si>
  <si>
    <t>Users</t>
  </si>
  <si>
    <t>Avg. Units per User</t>
  </si>
  <si>
    <t>Avg. Cost/Unit</t>
  </si>
  <si>
    <t>Total Cost</t>
  </si>
  <si>
    <t>Units</t>
  </si>
  <si>
    <t>Year 1</t>
  </si>
  <si>
    <t>GRAND TOTAL</t>
  </si>
  <si>
    <t>TOTAL UNDUPLICATED PARTICIPANTS</t>
  </si>
  <si>
    <t>Factor D</t>
  </si>
  <si>
    <t>AVERAGE LENGTH OF STAY ON THE WAIVER</t>
  </si>
  <si>
    <t>Total Days of Waiver Coverage</t>
  </si>
  <si>
    <t>Year 4</t>
  </si>
  <si>
    <t>Year</t>
  </si>
  <si>
    <t>Visits</t>
  </si>
  <si>
    <t>Factor D'</t>
  </si>
  <si>
    <t>Factor G</t>
  </si>
  <si>
    <t>Factor G'</t>
  </si>
  <si>
    <t>Year 2</t>
  </si>
  <si>
    <t>Year 5</t>
  </si>
  <si>
    <t>Year 6</t>
  </si>
  <si>
    <t>Year 7</t>
  </si>
  <si>
    <t>Year 8</t>
  </si>
  <si>
    <t>Year 9</t>
  </si>
  <si>
    <t>Year 10</t>
  </si>
  <si>
    <t>Demonstration of Neutrality</t>
  </si>
  <si>
    <t>TOTAL Factors D &amp; D'</t>
  </si>
  <si>
    <t>TOTAL Factors G &amp; G'</t>
  </si>
  <si>
    <t>Budget Neutral?</t>
  </si>
  <si>
    <t>Year 3</t>
  </si>
  <si>
    <t>Day</t>
  </si>
  <si>
    <t>Visit</t>
  </si>
  <si>
    <t>Installation</t>
  </si>
  <si>
    <t>Weighted Growth Rates</t>
  </si>
  <si>
    <t>--</t>
  </si>
  <si>
    <t xml:space="preserve">     Projected</t>
  </si>
  <si>
    <t xml:space="preserve">     Actual</t>
  </si>
  <si>
    <t>Respite (Hourly)</t>
  </si>
  <si>
    <t>Respite (Daily)</t>
  </si>
  <si>
    <t>Respite (Group)</t>
  </si>
  <si>
    <t>Speech, Hearing, Language</t>
  </si>
  <si>
    <t>Occupational Therapy</t>
  </si>
  <si>
    <t>Physical Therapy</t>
  </si>
  <si>
    <t>Community Spprt Team (Somatic)</t>
  </si>
  <si>
    <t>Community Spprt Team (Psych Sppt)</t>
  </si>
  <si>
    <t>Community Spprt Team (ACT)</t>
  </si>
  <si>
    <t>DD Waiver</t>
  </si>
  <si>
    <t>Family Training (Caregiver Training,N)</t>
  </si>
  <si>
    <t>Family Training (Caregiver Training,F)</t>
  </si>
  <si>
    <t>Session</t>
  </si>
  <si>
    <t>Professional Srvcs (Massage Thrpy)</t>
  </si>
  <si>
    <t>Professional Srvcs (Sex Ed)</t>
  </si>
  <si>
    <t>Professional Srvcs (Art Therapy)</t>
  </si>
  <si>
    <t>Professional Srvcs (Dance Therapy)</t>
  </si>
  <si>
    <t>Professional Srvcs (Drama Therapy)</t>
  </si>
  <si>
    <t>Professional Srvcs (Fitness Trainer)</t>
  </si>
  <si>
    <t>Professional Srvcs (Acupuncture)</t>
  </si>
  <si>
    <t>Professional Srvcs (Acu w/ Elec Stim)</t>
  </si>
  <si>
    <t>Professional Srvcs (Music Therapy)</t>
  </si>
  <si>
    <t>Behavior Support (Paraprof. Services)</t>
  </si>
  <si>
    <t>Behavior Support (Prof. Services)</t>
  </si>
  <si>
    <t>Behavior Support (Diagnostic Assmt)</t>
  </si>
  <si>
    <t>Skilled Nursing (Visit/RN)</t>
  </si>
  <si>
    <t>Skilled Nursing (Extended/RN)</t>
  </si>
  <si>
    <t>Skilled Nursing (Extended/LPN/LVN)</t>
  </si>
  <si>
    <t>Behavior Support (Non-Prof Services)</t>
  </si>
  <si>
    <t>Env. Accessibility Adaptation</t>
  </si>
  <si>
    <t>Vehicle Modifications</t>
  </si>
  <si>
    <t>In-Home Supports</t>
  </si>
  <si>
    <t>Live-In Caregiver</t>
  </si>
  <si>
    <t>11/20/2017 - 11/19/2018</t>
  </si>
  <si>
    <t>11/20/2018 - 11/19/2019</t>
  </si>
  <si>
    <t>11/20/2020 - 11/19/2021</t>
  </si>
  <si>
    <t>11/20/2019 - 11/19/2020</t>
  </si>
  <si>
    <t>11/20/2021 - 11/19/2022</t>
  </si>
  <si>
    <t>Year 6 (Current Waiver Period Year 1)</t>
  </si>
  <si>
    <t>Year 7 (Current Waiver Period Year 2)</t>
  </si>
  <si>
    <t>Year 8 (Current Waiver Period Year 3)</t>
  </si>
  <si>
    <t>Year 9 (Current Waiver Period Year 4)</t>
  </si>
  <si>
    <t>Year 10 (Current Waiver Period Year 5)</t>
  </si>
  <si>
    <t>Year 11 (New Waiver Renewal Period Year 1)</t>
  </si>
  <si>
    <t>Year 12 (New Waiver Renewal Year 2)</t>
  </si>
  <si>
    <t>Year 15 (New Waiver Renewal Period Year 5)</t>
  </si>
  <si>
    <t>Year 14 (New Waiver Renewal Period Year 4)</t>
  </si>
  <si>
    <t>Year 13 (New Waiver Renewal Period Year 3)</t>
  </si>
  <si>
    <t>New Wavier Year 1 -- 11</t>
  </si>
  <si>
    <t>New Wavier Year 2 -- 12</t>
  </si>
  <si>
    <t>New Wavier Year 3 -- 13</t>
  </si>
  <si>
    <t>New Wavier Year 4 -- 14</t>
  </si>
  <si>
    <t>New Wavier Year 5 -- 15</t>
  </si>
  <si>
    <t>NWY 1 - 11</t>
  </si>
  <si>
    <t>NWY 2 - 12</t>
  </si>
  <si>
    <t>NWY 3 - 13</t>
  </si>
  <si>
    <t>NWY 4 - 14</t>
  </si>
  <si>
    <t>NWY 5 - 15</t>
  </si>
  <si>
    <t>New Waiver Renewal Period</t>
  </si>
  <si>
    <t>Current Waiver Period</t>
  </si>
  <si>
    <t>Previous Wavier Period</t>
  </si>
  <si>
    <t>New Waiver Year</t>
  </si>
  <si>
    <t>Unduplicated Number of Participants</t>
  </si>
  <si>
    <t>Year 1 - 11</t>
  </si>
  <si>
    <t>Year 2 - 12</t>
  </si>
  <si>
    <t>Year 3 - 13</t>
  </si>
  <si>
    <t>Year 4 - 14</t>
  </si>
  <si>
    <t>Year 5 - 15</t>
  </si>
  <si>
    <t>FY18</t>
  </si>
  <si>
    <t>FY19</t>
  </si>
  <si>
    <t>FY20</t>
  </si>
  <si>
    <t>FY21</t>
  </si>
  <si>
    <t>FY22</t>
  </si>
  <si>
    <t>Speech, Hearing, Language (Small Group)</t>
  </si>
  <si>
    <t>Family Training (Small Group)</t>
  </si>
  <si>
    <t>Assistive Technology</t>
  </si>
  <si>
    <t>Temporary Crisis Respite</t>
  </si>
  <si>
    <t>Parenting Support</t>
  </si>
  <si>
    <t>Wellness Svc's - Nutritional Cnslg.</t>
  </si>
  <si>
    <t>Speech, Hearing, Language (small group)</t>
  </si>
  <si>
    <t>estimated percentage from ORA</t>
  </si>
  <si>
    <t>Wellness Services - Professional Services (Sex Ed)</t>
  </si>
  <si>
    <t>Wellness Services - Professional Services (Massage Therapy)</t>
  </si>
  <si>
    <t>Professional Services (Creative Art Therapy)</t>
  </si>
  <si>
    <t>Day Habilitation (One to One)</t>
  </si>
  <si>
    <t>Wellness Services - Bereavement Counseling</t>
  </si>
  <si>
    <t>DD Waiver Projections, by service, from 372 data</t>
  </si>
  <si>
    <t>Per DDS, Delete Service</t>
  </si>
  <si>
    <t>Elminate Service per DDS as of 2/6/2017 due to no Utilization</t>
  </si>
  <si>
    <t>Per DDS, this service has been rolledup into Art Therapies</t>
  </si>
  <si>
    <t>Trending Methodology &amp; Assumptions</t>
  </si>
  <si>
    <t>Host Home (Residential Care - Med UB)</t>
  </si>
  <si>
    <t>Host Home (Residential Care - Basic UA)</t>
  </si>
  <si>
    <t>Behavior Support (Prof. Services - U4)</t>
  </si>
  <si>
    <t>Behavior Support (Paraprof. Services - U6)</t>
  </si>
  <si>
    <t>Behavior Support (Non-Prof Services - U7)</t>
  </si>
  <si>
    <t>Res Hab 5-6 Intensive w/ 24 hr LPN (U2 - HI)</t>
  </si>
  <si>
    <t>Resident Habilitation 5-6 Res (Intensive - U8)</t>
  </si>
  <si>
    <t>Resident Habilitation 5-6 Res (Enhanced - U7)</t>
  </si>
  <si>
    <t>Resident Habilitation 5-6 Res (Moderate - U6)</t>
  </si>
  <si>
    <t>Resident Habilitation 5-6 Res (Basic - U5)</t>
  </si>
  <si>
    <t>Res Hab 4 Intensive w/ 24 hr LPN (U1 - TE)</t>
  </si>
  <si>
    <t>Resident Habilitation 4 Res (Intensive - U4)</t>
  </si>
  <si>
    <t>Resident Habilitation 4 Res (Enhanced - U3)</t>
  </si>
  <si>
    <t>Resident Habilitation 4 Res (Moderate - U2)</t>
  </si>
  <si>
    <t>Resident Habilitation 4 Res (Basic - U1)</t>
  </si>
  <si>
    <t>Supported Living 3 Res (Basic 2) w/ Transportation (U2 - HI)</t>
  </si>
  <si>
    <t>Supported Living 3 Res (Intensive 1) w/ Transportation (U5 - HI)</t>
  </si>
  <si>
    <t>Supported Living 3 Intensive w/ LPN w/ Transportation (TE - HI)</t>
  </si>
  <si>
    <t>Supported Living 3 Res (Intensive 2) w/ Transportation (U6 - HI)</t>
  </si>
  <si>
    <t>Supported Living 2 Res (Basic 1) w/ Transportation (U7 - HI)</t>
  </si>
  <si>
    <t>Supported Living 2 Res (Basic 2) w/ Transportation (U8 - HI)</t>
  </si>
  <si>
    <t>Supported Living 2 Res (Intensive 1) w/ Transportation (UB - HI)</t>
  </si>
  <si>
    <t>Supported Living 3 Res (Basic 1) w/ Transportation (U1- HI)</t>
  </si>
  <si>
    <r>
      <t>Supported Living 1 Res (Periodic) w/ Transportation</t>
    </r>
    <r>
      <rPr>
        <sz val="11"/>
        <rFont val="Calibri"/>
        <family val="2"/>
        <scheme val="minor"/>
      </rPr>
      <t xml:space="preserve"> (T2017 U1 - HI)</t>
    </r>
  </si>
  <si>
    <t>Supported Living 3 Res (Moderate 1) w/ Transportation (U3 - HI)</t>
  </si>
  <si>
    <t>Supported Living 3 Res (Moderate 2) w/ Transportation (U4 -HI)</t>
  </si>
  <si>
    <t>Supported Living 2 Res (Moderate 1) w/ Transportation (U9 - HI)</t>
  </si>
  <si>
    <t>Supported Living 2 Res (Moderate 2) w/ Transportation (UA - HI)</t>
  </si>
  <si>
    <t>Supported Employment (Small Group)</t>
  </si>
  <si>
    <t>Supported Living 3 Res (Basic 1 - U1)</t>
  </si>
  <si>
    <t>Supported Living 3 Res (Basic 2 - U2)</t>
  </si>
  <si>
    <t>Supported Living 3 Res (Moderate 1 - U3)</t>
  </si>
  <si>
    <t>Supported Living 3 Res (Moderate 2 - U4)</t>
  </si>
  <si>
    <t>Supported Living 3 Res (Intensive 1 - U5)</t>
  </si>
  <si>
    <t>Supported Living 3 Res (Intensive 2 - U6)</t>
  </si>
  <si>
    <t>Supported Living 2 Res (Basic 1 - U7)</t>
  </si>
  <si>
    <t>Supported Living 2 Res (Basic 2 - U8)</t>
  </si>
  <si>
    <t>Supported Living 2 Res (Moderate 1 - U9)</t>
  </si>
  <si>
    <t>Supported Living 2 Res (Moderate 2 - UA)</t>
  </si>
  <si>
    <t>Supported Living 2 Res (Intensive 1 - UB)</t>
  </si>
  <si>
    <r>
      <t>Supported Living 1 Res (Periodic)</t>
    </r>
    <r>
      <rPr>
        <sz val="11"/>
        <rFont val="Calibri"/>
        <family val="2"/>
        <scheme val="minor"/>
      </rPr>
      <t xml:space="preserve"> (T2017 U1</t>
    </r>
    <r>
      <rPr>
        <b/>
        <sz val="11"/>
        <rFont val="Calibri"/>
        <family val="2"/>
        <scheme val="minor"/>
      </rPr>
      <t>)</t>
    </r>
  </si>
  <si>
    <t>Supported Living 3 Intensive w/ LPN (U1 - TE)</t>
  </si>
  <si>
    <t>Behavior Support (Diagnostic Assmt - H0031 - U4)</t>
  </si>
  <si>
    <t>Supported Living 1 Res (Asleep Overnt - UD)</t>
  </si>
  <si>
    <t>Supported Living 1 Res (Awake Overnt - UC)</t>
  </si>
  <si>
    <t>Supported Living 1 Res (Asleep Overnt) w/ Transportation (UD - HI)</t>
  </si>
  <si>
    <t>Supported Living 1 Res (Awake Overnt) w/ Transportation (UC - HI)</t>
  </si>
  <si>
    <t>Respite (Hourly &amp; Extended) -- (1-17HRS) - (T1005 - U4)</t>
  </si>
  <si>
    <t>Respite (Daily) -- (18-24HRS) - (S9125 - U4)</t>
  </si>
  <si>
    <t>Wellness Services (Fitness Trainer - S9451 - U4)</t>
  </si>
  <si>
    <t>Wellness Services (Sex Ed - S9445 - U4)</t>
  </si>
  <si>
    <t>Arts Therapies (Art Therapy - U5)</t>
  </si>
  <si>
    <t>Arts Therapies (Drama Therapy - U7)</t>
  </si>
  <si>
    <t>Speech, Hearing &amp; Lang. - SM Group</t>
  </si>
  <si>
    <t>Which services are rolling up into Assisted Technology (PERS Monthly &amp;/or Intallation &amp; Testing)? Both services are being incorporated into Assistive Technology per DDS on 2/21/2017</t>
  </si>
  <si>
    <t>Community Support Team</t>
  </si>
  <si>
    <t>Respite (Daily) - 18 to 24 Hours</t>
  </si>
  <si>
    <t>Respite (Hourly) - 1 to 17 Hours</t>
  </si>
  <si>
    <t>Professional Services - Creative Art Therapy</t>
  </si>
  <si>
    <t>Total of WY4 to WY15</t>
  </si>
  <si>
    <t>Total of WY1 to WY3</t>
  </si>
  <si>
    <t>Total</t>
  </si>
  <si>
    <t>Individualized Day One on One</t>
  </si>
  <si>
    <t>Day Habilitation - Individualized Day Support (T2021 - HI)</t>
  </si>
  <si>
    <t>Day Habilitation - Individualized Day Support meal modifier (S9977 - U4)</t>
  </si>
  <si>
    <t>Day Habilitation - Individualized Day Support one to one (T2021 - U3)</t>
  </si>
  <si>
    <t>Day Habilitation Small Group (U2)</t>
  </si>
  <si>
    <t xml:space="preserve">Good </t>
  </si>
  <si>
    <t>Good</t>
  </si>
  <si>
    <t>Grew D' and G' by 2.7% which is the 2017 market basket rate increase for Nursing Facilities.</t>
  </si>
  <si>
    <t>Arts Therapies (Music Therapy - G0176 - U8)</t>
  </si>
  <si>
    <t>Day Habilitation (T2021 - U4)</t>
  </si>
  <si>
    <t>Day Habilitation (One to One - T2021 - U5)</t>
  </si>
  <si>
    <t>Support Emplymt (Assessment Prof - T2019 - U1 - HI)</t>
  </si>
  <si>
    <t>Support Emplymt (Assessment Paraprof - T2019 - U2 - HI)</t>
  </si>
  <si>
    <t>Support Emplymt (Placement Prof - T2019 - U3 - HI)</t>
  </si>
  <si>
    <t>Support Emplymt (Placement Paraprof - T2019 - U4 - HI)</t>
  </si>
  <si>
    <t>Support Emplymt (Training Prof - T2019 - U5 - HI)</t>
  </si>
  <si>
    <t>Support Emplymt (Training Paraprof - T2019 - U6 - HI)</t>
  </si>
  <si>
    <t>Wellness Services (Nutritional Counseling - S9470 - U4)</t>
  </si>
  <si>
    <t>Wellness Services (Bereavement Counseling - 96152)</t>
  </si>
  <si>
    <t>Wellness Services (Massage Therapy - 97124)</t>
  </si>
  <si>
    <t>Skilled Nursing (Extended/RN - G0154 - TG or T1002 - U4)</t>
  </si>
  <si>
    <t>Skilled Nursing (Extended/LPN/LVN - G0154 - TF or T1003 - U4)</t>
  </si>
  <si>
    <t>1 unit annually</t>
  </si>
  <si>
    <t>Skilled Nursing (Visit/RN - G0154 - U4 or G0299 - U4)</t>
  </si>
  <si>
    <t>Supported Living 1 Res (Awake Overnight) w/ Trans.</t>
  </si>
  <si>
    <t>Supported Living 1 Res (Asleep Overnight) w/ Trans.</t>
  </si>
  <si>
    <t>Supported Employment (SM Group)</t>
  </si>
  <si>
    <t>Wellness Services - Prof. Svcs. (Fitness Trainer)</t>
  </si>
  <si>
    <t>$10,000 over 5 years</t>
  </si>
  <si>
    <t>Diagnostic Assessment</t>
  </si>
  <si>
    <t xml:space="preserve">Behavioral Support </t>
  </si>
  <si>
    <t>Categories</t>
  </si>
  <si>
    <t>Procedure Code</t>
  </si>
  <si>
    <t>Professional Services</t>
  </si>
  <si>
    <t>H0025 - U4</t>
  </si>
  <si>
    <t>H0031 - U4</t>
  </si>
  <si>
    <t>Limits</t>
  </si>
  <si>
    <t>Paraprofessional Services</t>
  </si>
  <si>
    <t>H0025 - U6</t>
  </si>
  <si>
    <t>Max hours per day 24 / Max units per day 96 -- Max units per year 35,040 / Max hours per year 8,760</t>
  </si>
  <si>
    <t xml:space="preserve">Non-Professional </t>
  </si>
  <si>
    <t>H0025 - U7</t>
  </si>
  <si>
    <t>Companion Services</t>
  </si>
  <si>
    <t>Companion Services Individual</t>
  </si>
  <si>
    <t>S5135 - U1</t>
  </si>
  <si>
    <t>S5135 - U2</t>
  </si>
  <si>
    <t>Companion Services Group</t>
  </si>
  <si>
    <t>T2021 - U4</t>
  </si>
  <si>
    <t>Max units per day 32 / Max hours per day 8 (5 days per week) -- Max units per year 8,320 units / Max hours per year 2,080</t>
  </si>
  <si>
    <t>Day Habilitation 1 to 1</t>
  </si>
  <si>
    <t>T2021 - U5</t>
  </si>
  <si>
    <t>Small Day Group Day Hab</t>
  </si>
  <si>
    <t>T2021 - U2 (1:3)</t>
  </si>
  <si>
    <t>T2015 - U4 HI</t>
  </si>
  <si>
    <t>Environmental Accessibilities Adaptations</t>
  </si>
  <si>
    <t>S5165 - U4</t>
  </si>
  <si>
    <t>$500 Max for evaluation or home inspection  (this is inclusive of the $10,000 limit). Limit $10,000 per participant over a 5 year period</t>
  </si>
  <si>
    <t xml:space="preserve">Family Training </t>
  </si>
  <si>
    <t>Family Training (Family)</t>
  </si>
  <si>
    <t>S5110 - U4</t>
  </si>
  <si>
    <t>Max units per day 16 / Max hours per day 4 -- Max units per year 400 / Max hours per year 100</t>
  </si>
  <si>
    <t>S5115 - U4</t>
  </si>
  <si>
    <t>Family Training (Non-Family)</t>
  </si>
  <si>
    <t>Individualized Day Supports</t>
  </si>
  <si>
    <t>T2021 HI</t>
  </si>
  <si>
    <t>Max units per day 24 / Max hours per day 6 (5 days per week) -- Max units per year 6,240 / Max hours per year 1,560</t>
  </si>
  <si>
    <t xml:space="preserve">In Home Supports </t>
  </si>
  <si>
    <t>99509 - U4</t>
  </si>
  <si>
    <t>Max units per day 32 / Max hours per day 8, up to 365 days per year  -- Max units per year 11,680 units / Max hours per year 2,920</t>
  </si>
  <si>
    <t xml:space="preserve">In Home Supports Extension </t>
  </si>
  <si>
    <t>99509 - U4 22</t>
  </si>
  <si>
    <t>Max units per day 32 / Max 8 hours per day, up to 180 days -- Max units per year 5,760 / Max hours per year 1,440</t>
  </si>
  <si>
    <t xml:space="preserve">Occupational Therapy </t>
  </si>
  <si>
    <t>G0152 - U1</t>
  </si>
  <si>
    <t>T2038 - U4</t>
  </si>
  <si>
    <t>$5,000 with a maximum of unit of 1. Max units per day / Max units per year 1</t>
  </si>
  <si>
    <t>Personal Care Services</t>
  </si>
  <si>
    <t>T1019 - U1 22</t>
  </si>
  <si>
    <t>Max units per day 64 / Max hours per day 16 -- Max units per year 23,360 / Max hours per year 5,840</t>
  </si>
  <si>
    <t xml:space="preserve">Physical Therapy </t>
  </si>
  <si>
    <t>S5160 - U4</t>
  </si>
  <si>
    <t xml:space="preserve">Physical Therapy - On-going </t>
  </si>
  <si>
    <t>G0151 - U2</t>
  </si>
  <si>
    <t>Respite</t>
  </si>
  <si>
    <t xml:space="preserve">Respite (Hourly) </t>
  </si>
  <si>
    <t>T1005 - U4</t>
  </si>
  <si>
    <r>
      <t xml:space="preserve">Max units per day 56 / Max hours per day </t>
    </r>
    <r>
      <rPr>
        <sz val="11"/>
        <color rgb="FFFF0000"/>
        <rFont val="Calibri"/>
        <family val="2"/>
        <scheme val="minor"/>
      </rPr>
      <t>14</t>
    </r>
    <r>
      <rPr>
        <sz val="11"/>
        <rFont val="Calibri"/>
        <family val="2"/>
        <scheme val="minor"/>
      </rPr>
      <t xml:space="preserve"> -- Max units per year 2,880 / Max hours per year 720</t>
    </r>
  </si>
  <si>
    <t xml:space="preserve">Respite (Daily) </t>
  </si>
  <si>
    <t>S9125 - U4</t>
  </si>
  <si>
    <t>Max units per year 30 / Max units per day 1</t>
  </si>
  <si>
    <t>Skilled Nursing</t>
  </si>
  <si>
    <t>G0299 - U4</t>
  </si>
  <si>
    <t>Max units per day 1 / Max hours per visit 4 -- Max units per year 52</t>
  </si>
  <si>
    <t>Initial Assessment</t>
  </si>
  <si>
    <t xml:space="preserve">T1001 - U4 </t>
  </si>
  <si>
    <t>$120 per assessment / Max 1 unit per year</t>
  </si>
  <si>
    <t>Extended Nursing RN Services</t>
  </si>
  <si>
    <t>T1002 - U4</t>
  </si>
  <si>
    <t>Max units per day 96 / 24 hours per day</t>
  </si>
  <si>
    <t xml:space="preserve">Max units per day 24 / 6 hours per day </t>
  </si>
  <si>
    <t>Extended Nursing LPN Services 1 to 1</t>
  </si>
  <si>
    <t>T1003 - U4</t>
  </si>
  <si>
    <t>Individual Supported Employment Intake/Assessment/Job</t>
  </si>
  <si>
    <t>Individual SE Intake &amp; Assessment Professional</t>
  </si>
  <si>
    <t>T2019 - U1 HI</t>
  </si>
  <si>
    <t>Max hours per day 8 / Max units per day 32 -- Max hours per year 80 / Max units per year 320</t>
  </si>
  <si>
    <t>Assessment Paraprofessional</t>
  </si>
  <si>
    <t>T2019 - U2 HI</t>
  </si>
  <si>
    <t>T2019 - U3 HI</t>
  </si>
  <si>
    <t>Individual SE Job Placement Professional</t>
  </si>
  <si>
    <t>Max hours per day 8 / Max units per day 32 -- Max hours per year 80 / Max units per year 80</t>
  </si>
  <si>
    <t>Max hours per day 8 / Max units per day 32 -- Max hours per year 240 / Max units per year 960</t>
  </si>
  <si>
    <t>Individual SE Job Placement Paraprofessional</t>
  </si>
  <si>
    <t>T2019 - U4 HI</t>
  </si>
  <si>
    <t>Individual SE Job Training &amp; Supports Professional</t>
  </si>
  <si>
    <t>T2019 - U5</t>
  </si>
  <si>
    <t>Max hours per day 8 / Max units per day 32 -- Max hours per year 320 / Max units per year 1,280</t>
  </si>
  <si>
    <t>Individual SE Job Training &amp; Supports Paraprofessional</t>
  </si>
  <si>
    <t>T2019 - U6</t>
  </si>
  <si>
    <t>Individual SE Long Term Follow Along Professional</t>
  </si>
  <si>
    <t>T2019 - U9 HI</t>
  </si>
  <si>
    <t>Max hours per day 8 / Max units per day 32 -- Max hours per year 1,408 / Max units per year 5,632</t>
  </si>
  <si>
    <t>Individual SE Long Term Follow Along Paraprofessional</t>
  </si>
  <si>
    <t>T2019 - UA HI</t>
  </si>
  <si>
    <t>T2019 - U5 HI</t>
  </si>
  <si>
    <t>T2019 - U6 HI</t>
  </si>
  <si>
    <t>SE GP Job Training &amp; Supports Professional</t>
  </si>
  <si>
    <t>SE GP Job Training &amp; Supports Paraprofessional</t>
  </si>
  <si>
    <t>SE GP Long Term Follow Along Professional</t>
  </si>
  <si>
    <t>T2019 - U7 HI</t>
  </si>
  <si>
    <t>T2019 - U8 HI</t>
  </si>
  <si>
    <t>Speech, Hearing and Language Services</t>
  </si>
  <si>
    <t>G0153 - U1</t>
  </si>
  <si>
    <t>Max units per day 16 / 4 hours per day</t>
  </si>
  <si>
    <t>Speech, Hearing and Language Services - On-going</t>
  </si>
  <si>
    <t>G0153 - U2</t>
  </si>
  <si>
    <t>Max units per day 4 / Max hours per day 1 -- Max units per year 400 / Max hours per year 100</t>
  </si>
  <si>
    <t>Supported Living Periodic</t>
  </si>
  <si>
    <t>Supported Living Periodic w/ Transportation</t>
  </si>
  <si>
    <t>T2017 - U1 HI</t>
  </si>
  <si>
    <t>T2017 - U1</t>
  </si>
  <si>
    <t>Max units per day 64 / Max hours per day 16</t>
  </si>
  <si>
    <t>Calculation for Units</t>
  </si>
  <si>
    <t>New Day Habilitation Service - Small Day Group</t>
  </si>
  <si>
    <t>Individualized Day Supports (New)</t>
  </si>
  <si>
    <t>Small Group Supported Employment</t>
  </si>
  <si>
    <t>Wellness Services</t>
  </si>
  <si>
    <t>Bereavement Assessment &amp; Counseling</t>
  </si>
  <si>
    <t>96152 HI</t>
  </si>
  <si>
    <t>Fitness Trainer Assessment &amp; Ongoing Services</t>
  </si>
  <si>
    <t>S9451 - U4</t>
  </si>
  <si>
    <t>Fitness Small Group</t>
  </si>
  <si>
    <t>S9451 - U1</t>
  </si>
  <si>
    <t>Nutritional Assessment &amp; Ongoing Services</t>
  </si>
  <si>
    <t>S9470 - U4</t>
  </si>
  <si>
    <t>Message Therapy Assessment &amp; Ongoing Services</t>
  </si>
  <si>
    <t>Sexual Education Assessment &amp; Ongoing Services</t>
  </si>
  <si>
    <t>97124 - U4</t>
  </si>
  <si>
    <t>S9445 - U4</t>
  </si>
  <si>
    <t>Speech, Hearing, Language (G0153 - U4)</t>
  </si>
  <si>
    <t>Year 5 -- 10</t>
  </si>
  <si>
    <t>Year 4 -- 09</t>
  </si>
  <si>
    <t xml:space="preserve">Average of Prior Authorization </t>
  </si>
  <si>
    <t>WY 7</t>
  </si>
  <si>
    <t>WY 8</t>
  </si>
  <si>
    <t>WY 9</t>
  </si>
  <si>
    <t>Actual Prior Authorizations</t>
  </si>
  <si>
    <t>WY 10</t>
  </si>
  <si>
    <t>WY 11</t>
  </si>
  <si>
    <t>WY 12</t>
  </si>
  <si>
    <t>WY 13</t>
  </si>
  <si>
    <t>WY 14</t>
  </si>
  <si>
    <t>WY 15</t>
  </si>
  <si>
    <t>Per DDS, Not a current service</t>
  </si>
  <si>
    <t>2017  TD</t>
  </si>
  <si>
    <t>Average of Actual Prior Authorization</t>
  </si>
  <si>
    <t>Average PA's</t>
  </si>
  <si>
    <t>Parenting Support (Small Group)</t>
  </si>
  <si>
    <t>Per DDS, Roll the service into Art Therapies</t>
  </si>
  <si>
    <t>Per DDS, Delete Service - Roll into Art Therapies</t>
  </si>
  <si>
    <t>WY 10 YTD</t>
  </si>
  <si>
    <t>Total Res Hab Prior Authorizations</t>
  </si>
  <si>
    <t>Basic (4)</t>
  </si>
  <si>
    <t>Moderate (4)</t>
  </si>
  <si>
    <t>Enhanced (4)</t>
  </si>
  <si>
    <t>Intensive (4)</t>
  </si>
  <si>
    <t>Skilled Nursing (4)</t>
  </si>
  <si>
    <t>Basic (5/6)</t>
  </si>
  <si>
    <t>Moderate (5/6)</t>
  </si>
  <si>
    <t>Enhanced (5/6)</t>
  </si>
  <si>
    <t>Intensive (5/6)</t>
  </si>
  <si>
    <t>Skilled Nursing (5/6)</t>
  </si>
  <si>
    <t xml:space="preserve">Quarterly units used </t>
  </si>
  <si>
    <t>Q3</t>
  </si>
  <si>
    <t>Q4</t>
  </si>
  <si>
    <t>PPL</t>
  </si>
  <si>
    <t>Average units per user</t>
  </si>
  <si>
    <t>PPL X Hours</t>
  </si>
  <si>
    <t>Parenting Support - SM Group</t>
  </si>
  <si>
    <t>Supported Employment - Small Group</t>
  </si>
  <si>
    <t>Rollup into Art Therapies - Group</t>
  </si>
  <si>
    <t>Rollup into Creative Art Therapies</t>
  </si>
  <si>
    <t>Day Habilitation w/ Meals (1:1 Meal Delivered)</t>
  </si>
  <si>
    <t>Day Habilitation w/ Meals (1:1 Meal including preparation/packaged)</t>
  </si>
  <si>
    <t>Day Habilitation w/ Meals (1:4 Meal Delivered)</t>
  </si>
  <si>
    <t>Day Habilitation w/ Meals (1:4 Meal including preparation/packaged)</t>
  </si>
  <si>
    <t>Q2</t>
  </si>
  <si>
    <t>Skilled Nursing - Initial Asseessment</t>
  </si>
  <si>
    <t>Day Hab w/ Meals (1:1 Meal Delivered)</t>
  </si>
  <si>
    <t>Day Hab w/ Meals (1:1 Meal including preparation/packaged)</t>
  </si>
  <si>
    <t>Day Hab w/ Meals (1:4 Meal Delivered)</t>
  </si>
  <si>
    <t>Day Hab w/ Meals (1:4 Meal including preparation/packaged)</t>
  </si>
  <si>
    <t>Combined - Art Therapy Services</t>
  </si>
  <si>
    <t>Per DDS, Trended users &amp; average users per user based on history for Art/Drama/Dance/Music services.</t>
  </si>
  <si>
    <t>Combined - Art Therapy Group Services</t>
  </si>
  <si>
    <t>Skilled Nursing (Initial Assessment)</t>
  </si>
  <si>
    <t>Skilled Nursing (Initial Assessment - T1001 U4)</t>
  </si>
  <si>
    <t>Long-Term FU Supported Employment (Follow Along)</t>
  </si>
  <si>
    <t>Item</t>
  </si>
  <si>
    <t>item</t>
  </si>
  <si>
    <t>Combined - Supported Living 3 Res (Basic 1) &amp; w/Trans</t>
  </si>
  <si>
    <t>Combined - Supported Living 3 Res (Basic 2) &amp; w/Trans</t>
  </si>
  <si>
    <t>Combined - Supported Living 3 Res (Moderate 1) &amp; w/Trans</t>
  </si>
  <si>
    <t>Combined - Supported Living 3 Res (Moderate 2) &amp; w/Trans</t>
  </si>
  <si>
    <t>Combined - Supported Living 3 Res (Intensive 1) &amp; W/ Trans</t>
  </si>
  <si>
    <t>Combined - Supported Living 3 Res (Intensive 2) &amp; w/Trans</t>
  </si>
  <si>
    <t>Combined - Supported Living 2 Res (Basic 1) &amp; w/ Trans</t>
  </si>
  <si>
    <t>Combined - Supported Living 2 Res (Basic 2) &amp; w/Trans</t>
  </si>
  <si>
    <t>Combined - Supported Living 2 Res (Moderate 1) &amp; w/Trans</t>
  </si>
  <si>
    <t>Combined - Supported Living 2 Res (Moderate 2) &amp; W/ Trans</t>
  </si>
  <si>
    <t>Combined &amp; Supported Living 2 Res (Intensive 1) &amp; w/ Trans</t>
  </si>
  <si>
    <t>Combined - Supported Living 1 Res (Asleep Overnight) &amp; w/ Trans</t>
  </si>
  <si>
    <t>Combined - Supported Living 1 Res (Awake Overnight) &amp; w/ Trans</t>
  </si>
  <si>
    <t>Combined - Supported Living 1 Res (Periodic) &amp; W/ Trans</t>
  </si>
  <si>
    <t>W/o</t>
  </si>
  <si>
    <t>W</t>
  </si>
  <si>
    <t>U1 - HI</t>
  </si>
  <si>
    <t>SL3 - B1</t>
  </si>
  <si>
    <t>U2 - HI</t>
  </si>
  <si>
    <t>SL3 - B2</t>
  </si>
  <si>
    <t>U4 - HI</t>
  </si>
  <si>
    <t>SL3 - M2</t>
  </si>
  <si>
    <t>U5 - HI</t>
  </si>
  <si>
    <t xml:space="preserve">SL3 - I1 </t>
  </si>
  <si>
    <t>U6 - HI</t>
  </si>
  <si>
    <t>SL3 - I2</t>
  </si>
  <si>
    <t>U7 - HI</t>
  </si>
  <si>
    <t xml:space="preserve">SL2 - B1 </t>
  </si>
  <si>
    <t>U8 - HI</t>
  </si>
  <si>
    <t>SL2 - B2</t>
  </si>
  <si>
    <t>U9 - HI</t>
  </si>
  <si>
    <t>SL2 - M1</t>
  </si>
  <si>
    <t>UA - HI</t>
  </si>
  <si>
    <t>SL2 - M2</t>
  </si>
  <si>
    <t>UB - HI</t>
  </si>
  <si>
    <t>SL2 - I1</t>
  </si>
  <si>
    <t>UC - HI</t>
  </si>
  <si>
    <t>SL1 - AK</t>
  </si>
  <si>
    <t>UD - HI</t>
  </si>
  <si>
    <t>SL1 - AS</t>
  </si>
  <si>
    <t>SL1 - PD</t>
  </si>
  <si>
    <t>USERS</t>
  </si>
  <si>
    <t>U3 - HI</t>
  </si>
  <si>
    <t>SL3 - M1</t>
  </si>
  <si>
    <t>SL1 - SN</t>
  </si>
  <si>
    <t>W/0</t>
  </si>
  <si>
    <t>Avg Units</t>
  </si>
  <si>
    <t>Ratio Allocation for Users &amp; Units</t>
  </si>
  <si>
    <t>Combined - Supported Living 3 Intensive w/LPN &amp; W/ Trans</t>
  </si>
  <si>
    <t>10% of the SHL Users</t>
  </si>
  <si>
    <t>User percentage</t>
  </si>
  <si>
    <t>SHL Group</t>
  </si>
  <si>
    <t>Average cost per Unit</t>
  </si>
  <si>
    <t>Q1 - FY17</t>
  </si>
  <si>
    <t>Q2 - FY17</t>
  </si>
  <si>
    <t>Q3 - FY17</t>
  </si>
  <si>
    <t>Q4 - FY17</t>
  </si>
  <si>
    <t>Blended rate based on the change to the Skilled Nursing Rate in the Rule (Feb 2017)</t>
  </si>
  <si>
    <t>Combined - Support Employment (Training Prof &amp; Paraprof)</t>
  </si>
  <si>
    <t>Long Term FU</t>
  </si>
  <si>
    <r>
      <t>Supported Living 1 Res (Periodic)</t>
    </r>
    <r>
      <rPr>
        <sz val="11"/>
        <rFont val="Calibri"/>
        <family val="2"/>
        <scheme val="minor"/>
      </rPr>
      <t xml:space="preserve"> (T2017 U1)</t>
    </r>
  </si>
  <si>
    <t>SERVICE</t>
  </si>
  <si>
    <t>PROCEDURE CODE</t>
  </si>
  <si>
    <t>DISTINICTION</t>
  </si>
  <si>
    <t>UNIT</t>
  </si>
  <si>
    <t>RATE</t>
  </si>
  <si>
    <t>AVERAGE UNIT PER USER</t>
  </si>
  <si>
    <t>LIMITATIONS</t>
  </si>
  <si>
    <t>Increase of 70 users (1822-1752)</t>
  </si>
  <si>
    <t>Increase of 50 users (1872-1822)</t>
  </si>
  <si>
    <t>Increase of 50 users (1902-1872)</t>
  </si>
  <si>
    <t>Increase of 30 users (1932-1902)</t>
  </si>
  <si>
    <t>Increase of 30 users (1962-1932)</t>
  </si>
  <si>
    <t>Jan</t>
  </si>
  <si>
    <t>Feb</t>
  </si>
  <si>
    <t>Mar</t>
  </si>
  <si>
    <t>Can you average an average?</t>
  </si>
  <si>
    <t>Cumulative Totals</t>
  </si>
  <si>
    <t xml:space="preserve">Service Description </t>
  </si>
  <si>
    <t>Procedure Codes</t>
  </si>
  <si>
    <t>Billable Unit</t>
  </si>
  <si>
    <t>Amendment effective 9/24/15 WY 3</t>
  </si>
  <si>
    <t>Amendment effective 11/20/15 WY 4</t>
  </si>
  <si>
    <t>Effective 1/1/17 WY 5</t>
  </si>
  <si>
    <t>2017 Rate Methodology Review as compared to 2017 rates</t>
  </si>
  <si>
    <t>Rate Review Decision for Public Comment</t>
  </si>
  <si>
    <t>New Unit Rate Waiver Year 1 Effective 1/1/18</t>
  </si>
  <si>
    <t xml:space="preserve">Environmental Accessibility Adaptation </t>
  </si>
  <si>
    <t>S5165 U4 </t>
  </si>
  <si>
    <t>One Service</t>
  </si>
  <si>
    <t>Remain the same</t>
  </si>
  <si>
    <t xml:space="preserve">Personal Care Services </t>
  </si>
  <si>
    <t>T1019-U1-22</t>
  </si>
  <si>
    <t>15 Minutes</t>
  </si>
  <si>
    <t>4.72/$18.88</t>
  </si>
  <si>
    <t>5.05 per unit/$20.20 per hour</t>
  </si>
  <si>
    <t>State Plan</t>
  </si>
  <si>
    <t>One-Time Tranmittal Services</t>
  </si>
  <si>
    <t>T2038 U4</t>
  </si>
  <si>
    <t>Vehicle Modification Services</t>
  </si>
  <si>
    <t>T2039 U4</t>
  </si>
  <si>
    <t xml:space="preserve">Host Home Without Transportation Services </t>
  </si>
  <si>
    <t>Host Home Basic Acuity</t>
  </si>
  <si>
    <t>T2033 UA </t>
  </si>
  <si>
    <t>One Day</t>
  </si>
  <si>
    <t>Host Home Medium Acuity</t>
  </si>
  <si>
    <t>T2033 UB</t>
  </si>
  <si>
    <t>Host Home Intense Acuity</t>
  </si>
  <si>
    <t>T2033 UC</t>
  </si>
  <si>
    <t>Host Home High Acuity</t>
  </si>
  <si>
    <t>T2033 UD</t>
  </si>
  <si>
    <t xml:space="preserve">In-Home Supports Services </t>
  </si>
  <si>
    <t>99509-U4</t>
  </si>
  <si>
    <t>15 Minutes/ Per Hour</t>
  </si>
  <si>
    <t>$5.84/$23.36</t>
  </si>
  <si>
    <t>5.88 per Unit/ $23.52 per Hour</t>
  </si>
  <si>
    <t xml:space="preserve">5.88 per unit/23.58 per hour  </t>
  </si>
  <si>
    <t>In Home Supports Extensions</t>
  </si>
  <si>
    <t>99509 U4-22</t>
  </si>
  <si>
    <t>Creative Art Therapies Services</t>
  </si>
  <si>
    <t>Art Therapy</t>
  </si>
  <si>
    <t>G0176-U5</t>
  </si>
  <si>
    <t>$75.23/$25.06</t>
  </si>
  <si>
    <t>75.77 per 45 minutes/ $25.25 per unit</t>
  </si>
  <si>
    <t>Art Therapy Extension</t>
  </si>
  <si>
    <t>G0176-U5-22</t>
  </si>
  <si>
    <t>Art Therapy Group</t>
  </si>
  <si>
    <t>G0176-U5-HQ</t>
  </si>
  <si>
    <t>45 Minutes</t>
  </si>
  <si>
    <t>24.99 (15 minutes)</t>
  </si>
  <si>
    <t>30.31/7.58  consistent group methodology</t>
  </si>
  <si>
    <t>Art Therapy Group Extension</t>
  </si>
  <si>
    <t>G0176-U5-HQ-22</t>
  </si>
  <si>
    <t>Dance Therapy</t>
  </si>
  <si>
    <t>G0176-U6</t>
  </si>
  <si>
    <t>Dance Therapy Extension</t>
  </si>
  <si>
    <t>G0176-U6-22</t>
  </si>
  <si>
    <t>Dance Therapy Group</t>
  </si>
  <si>
    <t>G0176-U6-HQ</t>
  </si>
  <si>
    <t>Dance Therapy Group Extension</t>
  </si>
  <si>
    <t>G0176-U6-HQ-22</t>
  </si>
  <si>
    <t>Drama Therapy</t>
  </si>
  <si>
    <t>G0176-U7</t>
  </si>
  <si>
    <t>Drama Therapy Extension</t>
  </si>
  <si>
    <t>G0176-U7-22</t>
  </si>
  <si>
    <t>Drama Therapy Group</t>
  </si>
  <si>
    <t>G0176-U7-HQ</t>
  </si>
  <si>
    <t>Drama Therapy Group Extension</t>
  </si>
  <si>
    <t>G0176-U7-HQ-22</t>
  </si>
  <si>
    <t>Music Therapy</t>
  </si>
  <si>
    <t>G0176-U8</t>
  </si>
  <si>
    <t>Music Therapy Extension</t>
  </si>
  <si>
    <t>G0176-U8-22</t>
  </si>
  <si>
    <t>Music Therapy Group</t>
  </si>
  <si>
    <t>G0176-U8-HQ</t>
  </si>
  <si>
    <t>30.31/7.58</t>
  </si>
  <si>
    <t>Music Therapy Group Extension</t>
  </si>
  <si>
    <t>G0176-U8-HQ-22</t>
  </si>
  <si>
    <t>Behavioral Support Services</t>
  </si>
  <si>
    <t>BS Diagnostic Assessment</t>
  </si>
  <si>
    <t>H0031 U4</t>
  </si>
  <si>
    <t>One Assessment</t>
  </si>
  <si>
    <t>BS Professional Services</t>
  </si>
  <si>
    <t>H0025 U4</t>
  </si>
  <si>
    <t xml:space="preserve">$26.47/$105.88 </t>
  </si>
  <si>
    <t>$26.66 per unit / $106.64 per hour</t>
  </si>
  <si>
    <t>BS Paraprofessional Services</t>
  </si>
  <si>
    <t>H0025 U6</t>
  </si>
  <si>
    <t>$16.30/$65.20</t>
  </si>
  <si>
    <t>$16.42 per unit/ $65.68 per hour</t>
  </si>
  <si>
    <t xml:space="preserve">BS Non-Professional </t>
  </si>
  <si>
    <t>H0025 U7</t>
  </si>
  <si>
    <t>$5.99/$23.96</t>
  </si>
  <si>
    <t>$6.03 per unit/ $24.12 per hour</t>
  </si>
  <si>
    <t>6.03/24.12</t>
  </si>
  <si>
    <t>Day Habilitation Services</t>
  </si>
  <si>
    <t>T2021 U4</t>
  </si>
  <si>
    <t>$5.45/$21.80</t>
  </si>
  <si>
    <t>$5.49 per unit / $21.96 per hour</t>
  </si>
  <si>
    <t>no change from 2015 methodology + CPI increases</t>
  </si>
  <si>
    <t>Day Habilitation with Meals (1:4)</t>
  </si>
  <si>
    <t>S9977 - U4</t>
  </si>
  <si>
    <t>Daily</t>
  </si>
  <si>
    <t>Day Habilitation with Meals through third party vendor (1:4)</t>
  </si>
  <si>
    <t>S5170 - U4</t>
  </si>
  <si>
    <t>Day Habilitation (1:1)</t>
  </si>
  <si>
    <t>T2021 U5</t>
  </si>
  <si>
    <t>$10.31/$41.24</t>
  </si>
  <si>
    <t>$10.39 per unit / $41.56 per hour</t>
  </si>
  <si>
    <t>Small Group Day Hab (1:3)</t>
  </si>
  <si>
    <t xml:space="preserve">T2021-U2 </t>
  </si>
  <si>
    <t>$8.22/$32.88</t>
  </si>
  <si>
    <t>$8.28 per unit/$33.12 per hour</t>
  </si>
  <si>
    <t>Small Group Day Habilitation with meals</t>
  </si>
  <si>
    <t>S9977</t>
  </si>
  <si>
    <t>$7.37 per day</t>
  </si>
  <si>
    <t>Small Group Day Habilitation with meals through third party vendor</t>
  </si>
  <si>
    <t>S5170-U4</t>
  </si>
  <si>
    <t>$5.06 per day</t>
  </si>
  <si>
    <t xml:space="preserve">Dental Services </t>
  </si>
  <si>
    <t>Employment Readiness Services</t>
  </si>
  <si>
    <t>T2015 U4 HI</t>
  </si>
  <si>
    <t>$4.69/$18.76</t>
  </si>
  <si>
    <t>$4.73 per unit / $18.92 per hour</t>
  </si>
  <si>
    <t>4.73/18.92</t>
  </si>
  <si>
    <t>Family Training Services</t>
  </si>
  <si>
    <t>S5110 U4 </t>
  </si>
  <si>
    <t>$15.25/$61.00</t>
  </si>
  <si>
    <t>$15.36 per unit / $61.44 per hour</t>
  </si>
  <si>
    <t>no change</t>
  </si>
  <si>
    <t>S5115 U4</t>
  </si>
  <si>
    <t>$15.36 per unit/$61.44 per hour</t>
  </si>
  <si>
    <t>$5.33/$21.32</t>
  </si>
  <si>
    <t>$5.36 per unit / $21.44 per hour</t>
  </si>
  <si>
    <t>5.93/23.73 +11%</t>
  </si>
  <si>
    <t>Individualized Day Supports with meals</t>
  </si>
  <si>
    <t>S9977-U4</t>
  </si>
  <si>
    <t>Individualized Day Supports (1:1)</t>
  </si>
  <si>
    <t>T2021-U3</t>
  </si>
  <si>
    <t>$9.50/$37.72</t>
  </si>
  <si>
    <t>$9.50 per unit / $38.00 per hour</t>
  </si>
  <si>
    <t>8.54/34.18 -10.10%</t>
  </si>
  <si>
    <t>Individualized Day Supports with meals  (1:1)</t>
  </si>
  <si>
    <t>Occupational Therapy Services</t>
  </si>
  <si>
    <t>Occupational Therapy Assessment</t>
  </si>
  <si>
    <t>G0152U1</t>
  </si>
  <si>
    <t>$25.08/$100.32</t>
  </si>
  <si>
    <t>$25.26 per unit / $101.04 per hour</t>
  </si>
  <si>
    <t>Occupational Therapy -On-Going</t>
  </si>
  <si>
    <t>G0152U2</t>
  </si>
  <si>
    <t>Personal Emergency Response System Services</t>
  </si>
  <si>
    <t>Personal Emergency Response System (PERS) Installation and testing Services</t>
  </si>
  <si>
    <t>S5160 U4 </t>
  </si>
  <si>
    <t>On Time Installation and Testing</t>
  </si>
  <si>
    <t>delete</t>
  </si>
  <si>
    <t>Personal Emergency Response System (PERS) Service Fee</t>
  </si>
  <si>
    <t>S5161 U4</t>
  </si>
  <si>
    <t>Service Per Month</t>
  </si>
  <si>
    <t>Physical Therapy Services</t>
  </si>
  <si>
    <t>Physical Therapy Services Assessment</t>
  </si>
  <si>
    <t>G0151-U1</t>
  </si>
  <si>
    <t>Physical Therapy Services On-Going</t>
  </si>
  <si>
    <t>G0151-U2</t>
  </si>
  <si>
    <t>Residential Habilitation Services</t>
  </si>
  <si>
    <t xml:space="preserve">Residential Habilitation (4 people) Basic Support (Level 1) </t>
  </si>
  <si>
    <t>T2033 U1 </t>
  </si>
  <si>
    <t>no change pending DHCF cost settlement</t>
  </si>
  <si>
    <t xml:space="preserve">Residential Habilitation (4 people) Moderate Support (Level 2) </t>
  </si>
  <si>
    <t>T2033 U2</t>
  </si>
  <si>
    <t xml:space="preserve">Residential Habilitation(4 people) Enhanced Support (Level 3) </t>
  </si>
  <si>
    <t>T2033 U3 </t>
  </si>
  <si>
    <t xml:space="preserve">Residential Habilitation(4 people) Intensive Support </t>
  </si>
  <si>
    <t>T2033 U4 </t>
  </si>
  <si>
    <t>Residential Habilitation(4 people)-with 24 Hr. Skilled Nursing (LPN)</t>
  </si>
  <si>
    <t>T2033 U1 TE</t>
  </si>
  <si>
    <t xml:space="preserve">Residential Habilitation(5/6 people) Basic Support (Level 1) </t>
  </si>
  <si>
    <t>T2033 U5 </t>
  </si>
  <si>
    <t xml:space="preserve">Residential Habilitation(5/6 people) Moderate Support (Level 2) </t>
  </si>
  <si>
    <t>T2033 U6</t>
  </si>
  <si>
    <t>Residential Habilitation(5/6 people) Enhanced  Moderate Support (Level-3)</t>
  </si>
  <si>
    <t>T2033 U7</t>
  </si>
  <si>
    <t xml:space="preserve">Residential Habilitation(5/6 people) Intensive  Support </t>
  </si>
  <si>
    <t>T2033 U8 </t>
  </si>
  <si>
    <t xml:space="preserve">Residential Habilitation  (5/6 people) with 24 Hr. Skilled Nursing (LPN)
</t>
  </si>
  <si>
    <t>T2033 U2 HI  </t>
  </si>
  <si>
    <t xml:space="preserve">Hourly Respite  (ONLY PROVIDED IN PERSONS HOME)
</t>
  </si>
  <si>
    <t>T1005-U4</t>
  </si>
  <si>
    <t>$5.15/$20.60</t>
  </si>
  <si>
    <t>$5.18 per unit / $20.72 per hour</t>
  </si>
  <si>
    <t>5.18/20.72</t>
  </si>
  <si>
    <t xml:space="preserve">Hourly Respite, extended </t>
  </si>
  <si>
    <t>T1005-U4-22</t>
  </si>
  <si>
    <t xml:space="preserve">Daily Respite (ONLY PROVIDED OUTSIDE OF THE PERSONS HOME)
</t>
  </si>
  <si>
    <t>S9125-U4</t>
  </si>
  <si>
    <t>404.10 Per Day</t>
  </si>
  <si>
    <t xml:space="preserve">Daily Respite, extended </t>
  </si>
  <si>
    <t>S9125-U4-22</t>
  </si>
  <si>
    <t>Skilled Nursing Servies</t>
  </si>
  <si>
    <t>Skilled Nursing Visits</t>
  </si>
  <si>
    <t>G0299-U4</t>
  </si>
  <si>
    <t>Per Visit</t>
  </si>
  <si>
    <t>15 per 15 Minutes/ $65.00 per hour</t>
  </si>
  <si>
    <t>pending DHCF rate review</t>
  </si>
  <si>
    <t>Skilled Nursing Initial Assessment</t>
  </si>
  <si>
    <t>T1001-U4</t>
  </si>
  <si>
    <t>T1002-U4</t>
  </si>
  <si>
    <t>$15 per 15 Minutes/ $60.00 per hour</t>
  </si>
  <si>
    <t>Extended Nursing LPN Services (1:1)</t>
  </si>
  <si>
    <t>T1003-U4</t>
  </si>
  <si>
    <t>12.50 per 15 Minutes/ $50.00 per hour</t>
  </si>
  <si>
    <t>Speech Hearing, and Language Services</t>
  </si>
  <si>
    <t xml:space="preserve">Speech, Hearing and Language Assessment </t>
  </si>
  <si>
    <t>G0153-U1</t>
  </si>
  <si>
    <t>Speech, Hearing and Language Service – On-Going</t>
  </si>
  <si>
    <t>G0153-U2</t>
  </si>
  <si>
    <t xml:space="preserve">Supported Living Services </t>
  </si>
  <si>
    <t xml:space="preserve">SL (3) Basic Support Level 1 </t>
  </si>
  <si>
    <t>T2016 U1</t>
  </si>
  <si>
    <t>SL (3) Basic Support Level 1 W/TRANS</t>
  </si>
  <si>
    <t>T2016 U1 HI</t>
  </si>
  <si>
    <t xml:space="preserve">SL (3) Basic Support Level 2 </t>
  </si>
  <si>
    <t>T2016 U2</t>
  </si>
  <si>
    <t>SL (3) Basic Support Level 2 W/TRANS</t>
  </si>
  <si>
    <t xml:space="preserve">T2016 U2 HI </t>
  </si>
  <si>
    <t>SL (3) Moderate Support Level (1)</t>
  </si>
  <si>
    <t>T2016 U3</t>
  </si>
  <si>
    <t xml:space="preserve">SL (3) Moderate Support Level 1 W/TRANS </t>
  </si>
  <si>
    <t>T2016 U3 HI</t>
  </si>
  <si>
    <t>SL (3) Moderate Support Level 2</t>
  </si>
  <si>
    <t xml:space="preserve">T2016 U4 </t>
  </si>
  <si>
    <t>SL (3) Moderate Support Level 2 W/TRANS</t>
  </si>
  <si>
    <t>T2016 U4 HI</t>
  </si>
  <si>
    <t>SL (3) Intensive Support Level 1</t>
  </si>
  <si>
    <t>T2016 U5</t>
  </si>
  <si>
    <t>SL (3) Intensive Support Level 1 W/TRANS</t>
  </si>
  <si>
    <t>T2016 U5 HI</t>
  </si>
  <si>
    <t>SL (3) Intensive Support Level 2</t>
  </si>
  <si>
    <t>T2016 U6</t>
  </si>
  <si>
    <t>SL (3) Intensive Support Level 2 W/TRANS</t>
  </si>
  <si>
    <t>T2016 U6 HI</t>
  </si>
  <si>
    <t>SL (2) Basic Support Level 1</t>
  </si>
  <si>
    <t>T2016 U7</t>
  </si>
  <si>
    <t>SL (2) Basic Support Level 1 W/TRANS</t>
  </si>
  <si>
    <t>T2016 U7 HI</t>
  </si>
  <si>
    <t>SL (2) Basic Support Level 2</t>
  </si>
  <si>
    <t>T2016 U8</t>
  </si>
  <si>
    <t>SL (2) Basic Support Level 2 W/TRANS</t>
  </si>
  <si>
    <t>T2016 U8 HI</t>
  </si>
  <si>
    <t>SL (2) Moderate Support Level 1</t>
  </si>
  <si>
    <t>T2016 U9</t>
  </si>
  <si>
    <t>SL (2) Moderate Support Level 1 W/TRANS</t>
  </si>
  <si>
    <t>T2016 U9 HI</t>
  </si>
  <si>
    <t>SL (2) Moderate Support Level 2</t>
  </si>
  <si>
    <t xml:space="preserve">T2016 UA </t>
  </si>
  <si>
    <t>SL (2) Moderate Support Level 2 W/TRANS</t>
  </si>
  <si>
    <t>T2016 UA HI</t>
  </si>
  <si>
    <t>SL (2) Intensive Support Level (1)</t>
  </si>
  <si>
    <t>T2016 UB</t>
  </si>
  <si>
    <t>SL (2) Intensive Support Level 1 W/TRANS</t>
  </si>
  <si>
    <t>T2016 UB HI</t>
  </si>
  <si>
    <t xml:space="preserve">SL (1) One to One Asleep Overnight </t>
  </si>
  <si>
    <t>T2016 UD</t>
  </si>
  <si>
    <t>SL (1) One to One Asleep Overnight W/TRANS</t>
  </si>
  <si>
    <t>T2016 UD HI</t>
  </si>
  <si>
    <t xml:space="preserve">SL (1) One to One Awake Overnight </t>
  </si>
  <si>
    <t xml:space="preserve">T2016 UC </t>
  </si>
  <si>
    <t>SL (1) One to One Awake Overnight W/TRANS</t>
  </si>
  <si>
    <t>T2016 UC HI</t>
  </si>
  <si>
    <t xml:space="preserve">SL Periodic </t>
  </si>
  <si>
    <t>T2017 U1</t>
  </si>
  <si>
    <t>$6.03 per unit /$24.12 per hour</t>
  </si>
  <si>
    <t>SL Periodic with transportation</t>
  </si>
  <si>
    <t>T2017 U1 HI</t>
  </si>
  <si>
    <t>$6.77/$23.96</t>
  </si>
  <si>
    <t>$6.82 per unit /$27.28 per hour</t>
  </si>
  <si>
    <t>6.83/27.32   +0.15%</t>
  </si>
  <si>
    <t xml:space="preserve">Supported Living (3)  with 24 Skilled Nursing </t>
  </si>
  <si>
    <t>T2017 U1 TE</t>
  </si>
  <si>
    <t>Supported Living (3) with 24 Skilled Nursing with Transportation</t>
  </si>
  <si>
    <t>T2017 TE HI</t>
  </si>
  <si>
    <t>Wellness Bereavement Assessment and Counseling (Conduct Assessment within first 2 hours)</t>
  </si>
  <si>
    <t>96152-HI  </t>
  </si>
  <si>
    <t>$16.42 per 15 minutes/$65.68 per hour</t>
  </si>
  <si>
    <t>Wellness Bereavement Counseling Extended</t>
  </si>
  <si>
    <t>96152-HI-22</t>
  </si>
  <si>
    <t>Wellness Fitness Trainer Assessment and ongoing services (Conduct Assessment within first 2 hours</t>
  </si>
  <si>
    <t>S9451-U4</t>
  </si>
  <si>
    <t>$18.81/$75.24</t>
  </si>
  <si>
    <t>$18.94 per 15 minutes/$75.76 per hour</t>
  </si>
  <si>
    <t>Wellness Fitness Trainer Extension</t>
  </si>
  <si>
    <t>S9451-U4-22</t>
  </si>
  <si>
    <t>Wellness Fitness Small Group</t>
  </si>
  <si>
    <t>S9451-U1</t>
  </si>
  <si>
    <t>$11.28/$45.12</t>
  </si>
  <si>
    <t>$11.37 per 15 minutes/$45.48 per hour</t>
  </si>
  <si>
    <t xml:space="preserve">Wellness Fitness Trainer Extended </t>
  </si>
  <si>
    <t>Wellness Nutritional Assessment and ongoing services (Conduct Assessment within first 2 hours)</t>
  </si>
  <si>
    <t>S9470-U4 </t>
  </si>
  <si>
    <t>Wellness Nutritional Counseling Extended</t>
  </si>
  <si>
    <t>S9470-U4-22</t>
  </si>
  <si>
    <t xml:space="preserve">Wellness Massage Therapy Assessment and ongoing services (Conduct Assessment within first 2 hours)97124 U4 </t>
  </si>
  <si>
    <t>97124-U4 </t>
  </si>
  <si>
    <t>$15.36 per 15 minutes/$61.44 per hour</t>
  </si>
  <si>
    <t xml:space="preserve">Wellness Massage Therapy Extended </t>
  </si>
  <si>
    <t>97124-U4-22</t>
  </si>
  <si>
    <t>Wellness Sexual Education Assessment and ongoing services (Conduct Assessment within first 2 hours)</t>
  </si>
  <si>
    <t>S9445-U4</t>
  </si>
  <si>
    <t>$19.05/$76.20</t>
  </si>
  <si>
    <t>$19.18 per 15 minutes/$76.72 per hour</t>
  </si>
  <si>
    <t xml:space="preserve">Wellness Sexual Education Extended </t>
  </si>
  <si>
    <t>S9445-U4-22</t>
  </si>
  <si>
    <t>Companion Services Individual (1:1)</t>
  </si>
  <si>
    <t>$4.72/$18.88</t>
  </si>
  <si>
    <t>$4.77 per unit / $19.08 per hour</t>
  </si>
  <si>
    <t>5.05/20.20   +5.87%</t>
  </si>
  <si>
    <t>Companion Services Group (1:3)</t>
  </si>
  <si>
    <t>$2.91/$11.64</t>
  </si>
  <si>
    <t>$2.94 per unit / $11.76 per hour</t>
  </si>
  <si>
    <t>2.44/9.76  -17%</t>
  </si>
  <si>
    <t>T2019-U1-H1</t>
  </si>
  <si>
    <t>$11.90/$47.60</t>
  </si>
  <si>
    <t>$11.98 per unit/$47.92 per hour</t>
  </si>
  <si>
    <t>12.29/49.16 +2.59 %</t>
  </si>
  <si>
    <t>Individual SE Intake &amp; Assessment Paraprofessional</t>
  </si>
  <si>
    <t>T2019-U2-H1</t>
  </si>
  <si>
    <t>$7.16/$28.64</t>
  </si>
  <si>
    <t>$7.21 per unit / $28.84 per hour</t>
  </si>
  <si>
    <t>6.74/26.95  -6.53%</t>
  </si>
  <si>
    <t>T2019-U3-H1</t>
  </si>
  <si>
    <t>Individual SE Job Placement Professional, Extended</t>
  </si>
  <si>
    <t>T2019-U3-H1-22</t>
  </si>
  <si>
    <t>T2019-U4-H1</t>
  </si>
  <si>
    <t>Individual SE Job Placement Paraprofessional Extended</t>
  </si>
  <si>
    <t>T2019-U4-H1-22</t>
  </si>
  <si>
    <t>T2019-U5</t>
  </si>
  <si>
    <t>Individual SE Job Training &amp; Supports Professional, extended</t>
  </si>
  <si>
    <t>T2019-U5-22</t>
  </si>
  <si>
    <t xml:space="preserve">T2019 U6 </t>
  </si>
  <si>
    <t>Individual SE Job Training &amp; Supports Paraprofessional, extended</t>
  </si>
  <si>
    <t>T2019 U6 -22</t>
  </si>
  <si>
    <t xml:space="preserve">T2019 U9 H1 </t>
  </si>
  <si>
    <t>$5.78/$23.12</t>
  </si>
  <si>
    <t>$5.82 per unit/$23.28 per hour</t>
  </si>
  <si>
    <t>Individual SE Long Term Follow Along Professional Extended</t>
  </si>
  <si>
    <t>T2019 U9 H1-22</t>
  </si>
  <si>
    <t xml:space="preserve">T2019 UA H1 </t>
  </si>
  <si>
    <t>Individual SE Long Term Follow Along Paraprofessional Extended</t>
  </si>
  <si>
    <t>T2019 UA H1-22</t>
  </si>
  <si>
    <t>Small Group Supported EmploymentPARAPROFESSIONAL</t>
  </si>
  <si>
    <t>SE Gp Job Training &amp; Supports Professional</t>
  </si>
  <si>
    <t>T2019 U5 H1</t>
  </si>
  <si>
    <t>$2.86/$11.44</t>
  </si>
  <si>
    <t>$2.88 per unit/11.52 per hour</t>
  </si>
  <si>
    <t>3.26/13.03 new group methodology</t>
  </si>
  <si>
    <t>SE Gp Job Training &amp; Supports Professional Extended</t>
  </si>
  <si>
    <t>T2019 U5 H1 22</t>
  </si>
  <si>
    <t xml:space="preserve">SE Gp Job Training &amp; Supports Paraprofessional </t>
  </si>
  <si>
    <t xml:space="preserve">T2019 U6 H1 </t>
  </si>
  <si>
    <t>SE Gp Job Training &amp; Supports Paraprofessional Extended</t>
  </si>
  <si>
    <t xml:space="preserve">T2019 U6 H1-22 </t>
  </si>
  <si>
    <t>SE Gp Long Term Follow Along Professional</t>
  </si>
  <si>
    <t>T2019 U7 H1</t>
  </si>
  <si>
    <t>SE Gp Long Term Follow Along Professional Extended</t>
  </si>
  <si>
    <t>T2019 U7 H1-22</t>
  </si>
  <si>
    <t>SE Gp Long Term Follow Along Paraprofessional</t>
  </si>
  <si>
    <t>T2019 U8 H1</t>
  </si>
  <si>
    <t>SE Gp Long Term Follow Along Paraprofessional Extended</t>
  </si>
  <si>
    <t>T2019 U8 H1-22</t>
  </si>
  <si>
    <t>NEW SERVICES</t>
  </si>
  <si>
    <t>Speech group</t>
  </si>
  <si>
    <t>$12.21 per unit/ $48.84 per hour</t>
  </si>
  <si>
    <t>existing rate at 85% absentee rate group 1:3</t>
  </si>
  <si>
    <t>101.04*((1+(0.15*3)))/3</t>
  </si>
  <si>
    <t>Family Training/Peer 1:1</t>
  </si>
  <si>
    <t>$8.60 per unit/$34.40</t>
  </si>
  <si>
    <t>new methodologies</t>
  </si>
  <si>
    <t>Family Training/ Peer Group</t>
  </si>
  <si>
    <t>$2.53 PER UNIT/$10.12</t>
  </si>
  <si>
    <t>Family Training Professional Group</t>
  </si>
  <si>
    <t>$6.15 per unit/$24.58</t>
  </si>
  <si>
    <t>Parenting Support 1:1</t>
  </si>
  <si>
    <t>$11.25 per unit/$44.99</t>
  </si>
  <si>
    <t>Parenting Support Group</t>
  </si>
  <si>
    <t>$3.31 per unit/$13.23</t>
  </si>
  <si>
    <t>Parenting Support/Peer 1:1</t>
  </si>
  <si>
    <t>Parenting Support/Peer Group</t>
  </si>
  <si>
    <t>$2.53 per unit/$10.12</t>
  </si>
  <si>
    <t>Access</t>
  </si>
  <si>
    <t>$10,000 5 year limit</t>
  </si>
  <si>
    <t>How do we have a rate when the service was Deleted?</t>
  </si>
  <si>
    <t>Questions/Comments</t>
  </si>
  <si>
    <t>Confirm with ORRFA - Reimbursement on the if the Blended rate is okay for WY1. See DDS Rates Tab for details</t>
  </si>
  <si>
    <t>Why is this vacant for no rate? Shouldn't this be $120</t>
  </si>
  <si>
    <t>Not being used - incorrect assumption.</t>
  </si>
  <si>
    <t>Family Training (Prof)</t>
  </si>
  <si>
    <t>Family Training (Small Group Prof)</t>
  </si>
  <si>
    <t>Parenting Support (Prof)</t>
  </si>
  <si>
    <t>Host Home (Residential Care - Intense)</t>
  </si>
  <si>
    <t>Host Home (Residential Care - High)</t>
  </si>
  <si>
    <t>Parenting Support - Peer</t>
  </si>
  <si>
    <t xml:space="preserve">Parenting Support </t>
  </si>
  <si>
    <t>Parenting Support - SM Group Peer</t>
  </si>
  <si>
    <t>Family Training - Peer</t>
  </si>
  <si>
    <t>Family Training - SM Group Peer</t>
  </si>
  <si>
    <t>Family Training - SM Group Professional</t>
  </si>
  <si>
    <t>Individualized Day Support</t>
  </si>
  <si>
    <t>Individualized Day Suppport 1:1</t>
  </si>
  <si>
    <t>Long-Term Follow Up Supported Employment</t>
  </si>
  <si>
    <t>Parenting Support (Peer)</t>
  </si>
  <si>
    <t>Parenting Support (Small Group Peer)</t>
  </si>
  <si>
    <t>Family Training (Peer)</t>
  </si>
  <si>
    <t>Family Training (Small Group  Peer)</t>
  </si>
  <si>
    <t>Used the detail provided for Parenting Support as the estimate for this service.</t>
  </si>
  <si>
    <t>Family Training (Small Group Peer)</t>
  </si>
  <si>
    <t>Parenting Support (Small Group Prof)</t>
  </si>
  <si>
    <t>Trended Users &amp; Avg units per user based on the history.</t>
  </si>
  <si>
    <t>This is Assistive Technology</t>
  </si>
  <si>
    <t>WY 1</t>
  </si>
  <si>
    <t>WY 2</t>
  </si>
  <si>
    <t>WY 3</t>
  </si>
  <si>
    <t>WY 6</t>
  </si>
  <si>
    <t>Percentage of All Users</t>
  </si>
  <si>
    <t xml:space="preserve">All SL W &amp; W/O Transportation Service Users </t>
  </si>
  <si>
    <t>Trended Avg units per user limited to 8,760 (24 units per day X 365 days). Trended users from WY 8 &amp; WY 9 based on policy changes.</t>
  </si>
  <si>
    <r>
      <t xml:space="preserve">Trended Avg units per user based on history then limited to 11,680 (32 units per day X 365 days). Took the users from WY 9 then added the new waiver enrollees annually. </t>
    </r>
    <r>
      <rPr>
        <sz val="11"/>
        <color theme="9" tint="-0.499984740745262"/>
        <rFont val="Calibri"/>
        <family val="2"/>
        <scheme val="minor"/>
      </rPr>
      <t/>
    </r>
  </si>
  <si>
    <t>Trended Avg units per user based on histroy then limited to 365 days per year. Trended users based on the actual prior authorizations from WY 8 &amp; WY 9 to reflect the gradual decline as requested by DDS.</t>
  </si>
  <si>
    <t>Trended Avg units per user based on history then limited to 365 days. Trended users based on the actual prior authorizations from WY 6 to WY 9 to reflect the flat to gradual decline as requested by DDS.</t>
  </si>
  <si>
    <t>Trended Avg units per user based on history then limited to 365 days per year. Trended users based on the actual prior authorizations from WY 8 &amp; WY 9 to reflect the gradual decline as requested by DDS.</t>
  </si>
  <si>
    <t>Trended Avg units per user based on history then limited to 365 days. Trended users based on the actual prior authorizations from WY 8 &amp; WY 9.</t>
  </si>
  <si>
    <t>The average units per user should be limited to 1 and the users were trended based on history.</t>
  </si>
  <si>
    <t>Trended Avg units per user from WY 7 to WY 9. Per DDS, prior authorization have been less than 10 people per year and new enrollees will be individual rather than group SE. Adjusted WY 11 to WY 15 to include only 10 users. Also adjusted WY 10 based on the same information.</t>
  </si>
  <si>
    <t>What are the rates for Temporary Crisis Respite that was requested to be added for the renewal? Per DDS on 3/10/2017, Delete Service.</t>
  </si>
  <si>
    <t>Trended Avg units per user based on history then limited to 1. Used the average of WY 1 to WY 4 for the users. Per DDS, used the average users from WY 5 to WY 9.</t>
  </si>
  <si>
    <t xml:space="preserve">Trended Avg units per user limited to 35,040 (96 units per day X 365 days). Per DDS, Trended the quarterly users  and average units per user. </t>
  </si>
  <si>
    <t>What users &amp; average units per user should be used to estimate this service? The users were determined by taking 10% of all skilled nursing services. The Avg units per user was limited to 1 per WY.</t>
  </si>
  <si>
    <r>
      <t xml:space="preserve">Is WY8 detail correct?  </t>
    </r>
    <r>
      <rPr>
        <sz val="11"/>
        <rFont val="Calibri"/>
        <family val="2"/>
      </rPr>
      <t xml:space="preserve">After reviewing the detail provided by Optum, I have change WY 8 detail to reflect the revised information (Users: 95; Units: 3630; $1,130,780.72).  Trended Avg units per user then limited to 30 days per year. Per DDS, trended the Users from WY 6 to WY 8. The total prior authorizations (246 in 2014 - WY7; 265 in 2015 - WY8; 303 in 2016 - WY 2016). </t>
    </r>
  </si>
  <si>
    <r>
      <t xml:space="preserve">Is WY8 detail correct? </t>
    </r>
    <r>
      <rPr>
        <sz val="11"/>
        <rFont val="Calibri"/>
        <family val="2"/>
      </rPr>
      <t>After reviewing the detail provided by Optum, I have change WY 8 detail to reflect the revised information (Users: 159; Units: 178,177; $887,821).  Avg Units per User limited to 2,880. Trended users based on the history.</t>
    </r>
  </si>
  <si>
    <t>Trended Avg units per user based on history then limited to 400 (16 units per day X 25 days). Per DDS, Trended user from WY 1 to WY 8 based on the dip in WY 9 which likely represents a lag in billing.</t>
  </si>
  <si>
    <t>Trended Avg Units per user based on history then limited to 5,840 (16 units per user X 365 days). Trended the users from history. Per DDS, reduced the users by the Speech, Hearing, Language (Small Group) users.</t>
  </si>
  <si>
    <t>Avg units per user limited to 400 (16 units per day X 25 days). -- Per DDS, Delete this service because it is incorporated in the Family Training in the waiver renewal.</t>
  </si>
  <si>
    <t>Trended Avg units per user based on history then limited to 400. Per DDS, changed the Users to limit based on the average of actual prior authorization (911 in 2014 - WY7; 977 in 2015 - WY8; 965 in 2016 - WY9).</t>
  </si>
  <si>
    <t>Trended Avg units per user based on history, then limited to 365 days. Per DDS, Trended prior authorzation from WY 8 to WY 10 then split the users based on the percentages provided for each service.</t>
  </si>
  <si>
    <t xml:space="preserve">Trended Avg units per user based WY 6 to WY 9, then limited to 80 units per year. Per DDS, Users should be 5 per year based on the people that may select a new provider. How were the users DDS provided determined? Used the average of the Users based the WY 7 to WY 9.  </t>
  </si>
  <si>
    <t xml:space="preserve">Trended Avg units per user based WY 7 to WY 9, then limited to 320 units per year (32 units per day times 10 days). Per DDS, Users should be 5 per year based on the people that may select a new provider. How were the users DDS provided determined? Used the average of the Users based the WY 8 &amp; WY 9.  </t>
  </si>
  <si>
    <t>Trended Avg units per user from history then limited to 8,320 (32 units per day X 260 days). Per DDS, Trended Users from WY 8 &amp; WY 9 for WY 10. WY11 to WY 15 was increased by the enrollment growth.</t>
  </si>
  <si>
    <t>Trended Avg units per user from WY 2 to WY 9 then limited to 400 (4 units per day X 100 days). Used the average of the approved prior authorization (452 in 2015; 402 in 2016; 335 in 2017 YTD).</t>
  </si>
  <si>
    <t>Trended Users &amp; Avg units per user based on history  then limited to 400 (4 units per day X 100 days).</t>
  </si>
  <si>
    <t>FY 2017 Appendix J</t>
  </si>
  <si>
    <t>FY 2017 Budget</t>
  </si>
  <si>
    <t>FY 2018 Appendix J</t>
  </si>
  <si>
    <t>FY 2018 Budget</t>
  </si>
  <si>
    <t>Total DAYS</t>
  </si>
  <si>
    <t>WY9 detail</t>
  </si>
  <si>
    <t>W/O</t>
  </si>
  <si>
    <t xml:space="preserve">Trended users from WY 5 to WY 9. Trended Avg Units per User based on history. </t>
  </si>
  <si>
    <t>FY16 Expenditures</t>
  </si>
  <si>
    <t>Variance</t>
  </si>
  <si>
    <t>Trended Avg units per user based on history, then limited to 365 days. Per DDS, Used estimated users then split between the with transportation &amp; without transportation the users based on the most recent 372.</t>
  </si>
  <si>
    <t>Sum of Total Cost for Each Service &amp; WY</t>
  </si>
  <si>
    <t xml:space="preserve">All projections start with WY 10 &amp; the actuals are represented in WY 1 - 9 </t>
  </si>
  <si>
    <t>Current FY17 '50' Projection</t>
  </si>
  <si>
    <t>Long-Term FU Supported Employment (Follow Up)</t>
  </si>
  <si>
    <t>Behavior Support (Non-Prof. Services - U7)</t>
  </si>
  <si>
    <t>Trended Avg units per user for WY 8 &amp; 9 then limited to 35,040 (96 units per day X 365 days). Trended the users from WY 8 &amp; WY 9 based on the policy changes.</t>
  </si>
  <si>
    <t>Trended Avg units per user based WY 6 to WY 9, then limited to 0. Per DDS, Users should be increasing yearly (+56; +60; +30; +15; +15). Equals 10% of the ppl in employment readiness. This should be half of these users. How were the users DDS provided determined?  Trended Users based the WY 6 to WY 9 then added the DDS adjustment per year.  We anticipate movement over these services based on LON scores ER/Companion/Day/IDS and are making a concerted effort to move out of the services into employment as well as moving people to follow along employment. 176 people with LON 1or 2 will move into supported employement.  1/2 will be in professional placement and 1/2 will be in para professional.We made changes to column D to include trend +anticipated movement in SE from Day Hab, IDS, etc. (1/2 of +56,+60, +30, +15, +15 are divided over para and professional to be added cumulatively).</t>
  </si>
  <si>
    <t>Trended Avg units per user based WY 5 to WY 9, then limited to 0. Per DDS, Users should be increasing yearly (+56; +60; +30; +15; +15). Equals 10% of the ppl in employment readiness. This should be half of these users. How were the users DDS provided determined? Used the average Users based the WY 1 to WY 9 then added the DDS adjustment per year. Trended users off WY 8/9.  We anticipate movement over these services based on LON scores ER/Companion/Day/IDS and are making a concerted effort to move out of the services into employment as well as moving people to follow along employment. 176 people with LON 1or 2 will move into supported employement.  1/2 will be in professional placement and 1/2 will be in para professional.We made changes to column D to include trend +anticipated movement in SE from Day Hab.  IDS, etc. (1/2 of +56,+60, +30, +15, +15 are divided over para and professional to be added cumulatively).</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</si>
  <si>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</si>
  <si>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from WY 1 to WY 6.  </t>
  </si>
  <si>
    <t>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</si>
  <si>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t>
  </si>
  <si>
    <t>Trended Avg units per user based on history then limited to 365 days. Per DDS, Used 10% of the Wavier Enrollees per year then split the users based on the percentages provided for each service.</t>
  </si>
  <si>
    <t>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for WY 7 &amp; WY 8.</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</si>
  <si>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from WY 7 to WY9. </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</si>
  <si>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from WY 7 to WY 9. </t>
  </si>
  <si>
    <t>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used the non transportation average units per user estimate.</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</si>
  <si>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t>
  </si>
  <si>
    <t>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from WY 7 &amp; WY 8.</t>
  </si>
  <si>
    <t xml:space="preserve">We estimated the number of users (WY 9 because it is the most recently reliable) based on the percentages of SL with transportation &amp; without transportation.  Based on historical utilization data (from DHCF and DDA), 47.5% of the people enrolled in the waiver will reside in SL settings.   We trended the average units per user based on 372 data then limited average units per user to 23,360 (64 units per day X 365 days). </t>
  </si>
  <si>
    <r>
      <t xml:space="preserve"> Per DDS, users should be as follows: WY 11 - 12; WY 12 - 20; WY 13 - 20; WY 14 - 32; WY 15 - 32.</t>
    </r>
    <r>
      <rPr>
        <sz val="11"/>
        <color rgb="FFFF0000"/>
        <rFont val="Calibri"/>
        <family val="2"/>
        <scheme val="minor"/>
      </rPr>
      <t xml:space="preserve"> How were the users determined?</t>
    </r>
    <r>
      <rPr>
        <sz val="11"/>
        <rFont val="Calibri"/>
        <family val="2"/>
        <scheme val="minor"/>
      </rPr>
      <t xml:space="preserve"> What average units per user should be used &amp; how was it developed? Per DDS, the max hours per week is 6. Georgetown has provided approximately 1.62 hrs per wk &amp; 1.37 hrs per wk for the past  2 months. This averages to 1.495 hrs per week.</t>
    </r>
  </si>
  <si>
    <r>
      <t xml:space="preserve"> Per DDS, users should be as follows: WY 11 - 50; WY 12 - 55; WY 13 - 60; WY 14 - 65; WY 15 - 70. </t>
    </r>
    <r>
      <rPr>
        <sz val="11"/>
        <color rgb="FFFF0000"/>
        <rFont val="Calibri"/>
        <family val="2"/>
        <scheme val="minor"/>
      </rPr>
      <t>How were the users determined?</t>
    </r>
    <r>
      <rPr>
        <sz val="11"/>
        <rFont val="Calibri"/>
        <family val="2"/>
        <scheme val="minor"/>
      </rPr>
      <t xml:space="preserve"> What average units per user should be used &amp; how was it developed? Per DDS, the max hours per week is 6. Georgetown has provided approximately 1.62 hrs per wk &amp; 1.37 hrs per wk for the past  2 months. This averages to 1.495 hrs per week.</t>
    </r>
  </si>
  <si>
    <r>
      <t xml:space="preserve">This service replaces Personal Emergency Response System (PERs) &amp; has a Cap of $10,000 per 5 years. What are the rates for Assistive Technology that was requested to be added for the renewal? Based on the conversation on 3/2/2017, used $10,000 over 5 years to develop the rate. Per DDS, users should be as follows: WY 11 - 100; WY 12 - 170; WY 13 - 250; WY 14 - 300; WY 15 - 350. </t>
    </r>
    <r>
      <rPr>
        <sz val="11"/>
        <color rgb="FFFF0000"/>
        <rFont val="Calibri"/>
        <family val="2"/>
        <scheme val="minor"/>
      </rPr>
      <t>How were the users determined?</t>
    </r>
    <r>
      <rPr>
        <sz val="11"/>
        <rFont val="Calibri"/>
        <family val="2"/>
        <scheme val="minor"/>
      </rPr>
      <t xml:space="preserve"> Per DDS, used 1 as the average units per user and made the units an item.</t>
    </r>
  </si>
  <si>
    <r>
      <t xml:space="preserve">Used 3 days per week times 52 weeks to arrive at the Avg units per user. Ensured that the days are limited to 365 days. Per DDS, users should be as follows: WY 11 - 24; WY 12 - 25; WY 13 - 25; WY 14 - 26; WY 15 - 27. </t>
    </r>
    <r>
      <rPr>
        <sz val="11"/>
        <color rgb="FFFF0000"/>
        <rFont val="Calibri"/>
        <family val="2"/>
        <scheme val="minor"/>
      </rPr>
      <t>How were the users determined?</t>
    </r>
    <r>
      <rPr>
        <sz val="11"/>
        <rFont val="Calibri"/>
        <family val="2"/>
        <scheme val="minor"/>
      </rPr>
      <t xml:space="preserve"> </t>
    </r>
  </si>
  <si>
    <r>
      <t xml:space="preserve">Used 3 days per week times 52 weeks to arrive at the Avg units per user. Ensured that the days are limited to 365 days Per DDS, users should be the following: WY 11 - 102; WY 12 - 105; WY 13 - 108; WY 14 - 111; WY 15 - 114. </t>
    </r>
    <r>
      <rPr>
        <sz val="11"/>
        <color rgb="FFFF0000"/>
        <rFont val="Calibri"/>
        <family val="2"/>
        <scheme val="minor"/>
      </rPr>
      <t xml:space="preserve">How were the users determined? </t>
    </r>
  </si>
  <si>
    <r>
      <t xml:space="preserve">Used 3 days per week times 52 weeks to arrive at the Avg units per user. Ensured that the days are limited to 365 days Per DDS, users should be the following: WY 11 - 64; WY 12 - 65; WY 13 - 67; WY 14 - 69; WY 15 - 71. </t>
    </r>
    <r>
      <rPr>
        <sz val="11"/>
        <color rgb="FFFF0000"/>
        <rFont val="Calibri"/>
        <family val="2"/>
        <scheme val="minor"/>
      </rPr>
      <t xml:space="preserve">How were the users determined? </t>
    </r>
  </si>
  <si>
    <r>
      <t xml:space="preserve">Used 3 days per week times 52 weeks to arrive at the Avg units per user. Ensured that the days are limited to 365 days Per DDS, users should be the following: WY 11 to WY 15 - 3. </t>
    </r>
    <r>
      <rPr>
        <sz val="11"/>
        <color rgb="FFFF0000"/>
        <rFont val="Calibri"/>
        <family val="2"/>
        <scheme val="minor"/>
      </rPr>
      <t xml:space="preserve">How were the users determined? </t>
    </r>
  </si>
  <si>
    <r>
      <t xml:space="preserve">Used 3 days per week times 52 weeks to arrive at the Avg units per user. Ensured that the days are limited to 365 days. Per DDS, users should be the following: WY 11 to WY 15 - 5. </t>
    </r>
    <r>
      <rPr>
        <sz val="11"/>
        <color rgb="FFFF0000"/>
        <rFont val="Calibri"/>
        <family val="2"/>
        <scheme val="minor"/>
      </rPr>
      <t xml:space="preserve">How were the users determined? </t>
    </r>
  </si>
  <si>
    <r>
      <t xml:space="preserve">Per DDS, Users &amp; calculated Avg units per user based on the information provided for users &amp; hours. This includes the shift of the individuals that they anticipate moving to the service. </t>
    </r>
    <r>
      <rPr>
        <sz val="11"/>
        <color rgb="FFFF0000"/>
        <rFont val="Calibri"/>
        <family val="2"/>
        <scheme val="minor"/>
      </rPr>
      <t xml:space="preserve">How were the users determined? </t>
    </r>
  </si>
  <si>
    <r>
      <t xml:space="preserve">Per DDS, Users &amp; calculated Avg units per user based on the information provided for users &amp; hours. This includes the shift of the individuals that they anticipate moving to the service. </t>
    </r>
    <r>
      <rPr>
        <sz val="11"/>
        <color rgb="FFFF0000"/>
        <rFont val="Calibri"/>
        <family val="2"/>
        <scheme val="minor"/>
      </rPr>
      <t>How were the users determined?</t>
    </r>
  </si>
  <si>
    <r>
      <t xml:space="preserve">Used 8 hours per day times 1 day per week times 52 weeks to arrive at the Avg units per user 416. Ensured that the days are limited to 365 days. Per DDS, users should be as follows: WY 11 - 10; WY 12 - 15; WY 13 - 25; WY 14 - 50; WY 15 - 100. </t>
    </r>
    <r>
      <rPr>
        <sz val="11"/>
        <color rgb="FFFF0000"/>
        <rFont val="Calibri"/>
        <family val="2"/>
        <scheme val="minor"/>
      </rPr>
      <t xml:space="preserve">How were the users determined? </t>
    </r>
  </si>
  <si>
    <r>
      <t xml:space="preserve">Used the average units per user from the fitness individual service. Per DDS, project user based on the Fitness - Individual. WY 11 - 50; WY 12 - 100; WY 13 - 150; WY 14 - 200; WY 15 - 250. </t>
    </r>
    <r>
      <rPr>
        <sz val="11"/>
        <color rgb="FFFF0000"/>
        <rFont val="Calibri"/>
        <family val="2"/>
        <scheme val="minor"/>
      </rPr>
      <t xml:space="preserve">How were the user determined? </t>
    </r>
  </si>
  <si>
    <r>
      <t xml:space="preserve">Used the historical 24 units in WY 4 as the estimate of the Avg units per user. Per DDS, the projections include Art, Music, Drama, Dance group combined. Users should be as follows: WY 11 - 4; WY 12 - 8; WY 13 - 12; WY 14 - 12; WY 15 - 24. </t>
    </r>
    <r>
      <rPr>
        <sz val="11"/>
        <color rgb="FFFF0000"/>
        <rFont val="Calibri"/>
        <family val="2"/>
        <scheme val="minor"/>
      </rPr>
      <t xml:space="preserve">How were the users determined? </t>
    </r>
  </si>
  <si>
    <r>
      <t xml:space="preserve">Per DDS, users &amp; average units per user should be as follows: WY 11 - 35 / 750; WY 12 - 50 / 726; WY 13 - 70 / 702; WY 14 - 93 / 678; WY 15 - 95 / 678. </t>
    </r>
    <r>
      <rPr>
        <sz val="11"/>
        <color rgb="FFFF0000"/>
        <rFont val="Calibri"/>
        <family val="2"/>
        <scheme val="minor"/>
      </rPr>
      <t xml:space="preserve">How were the users determined? </t>
    </r>
    <r>
      <rPr>
        <sz val="11"/>
        <rFont val="Calibri"/>
        <family val="2"/>
        <scheme val="minor"/>
      </rPr>
      <t>Review detail to ensure that the actuals are correct. The actuals are correct. There is no history so the users are based on the users provided.</t>
    </r>
  </si>
  <si>
    <r>
      <t xml:space="preserve">Trended Users &amp; Avg units per user from WY 8 &amp; WY 9 then limited to 6,240 (24 units per day X 260 days). Adjusted the Aug units per user by 685 for WY 10, then used that estimated for WY 11 to WY 15. </t>
    </r>
    <r>
      <rPr>
        <sz val="11"/>
        <color rgb="FFFF0000"/>
        <rFont val="Calibri"/>
        <family val="2"/>
        <scheme val="minor"/>
      </rPr>
      <t>How was the adjustment of 685 determined?</t>
    </r>
    <r>
      <rPr>
        <sz val="11"/>
        <rFont val="Calibri"/>
        <family val="2"/>
        <scheme val="minor"/>
      </rPr>
      <t xml:space="preserve"> Per DDS, Trended user from WY 8 &amp; WY 9 then add new additional users.</t>
    </r>
  </si>
  <si>
    <r>
      <t xml:space="preserve">Avg units per user limited to 400. What is the avg units per user? Used the average units per user from Training (Prof). Per DDS, used the following users: 4 - WY 10 to WY 11 &amp; 5 - WY 12 to WY 15. </t>
    </r>
    <r>
      <rPr>
        <sz val="11"/>
        <color rgb="FFFF0000"/>
        <rFont val="Calibri"/>
        <family val="2"/>
        <scheme val="minor"/>
      </rPr>
      <t>How were the users deterimed?</t>
    </r>
  </si>
  <si>
    <t>Per DDS, Combined the Training (Prof &amp; Paraprof) then took a percentage of the users annually that would move to this service. Used 640 as the average units per user max.</t>
  </si>
  <si>
    <r>
      <t xml:space="preserve">Trended Avg units per user based on history, then limited to 1,280 (32 units per day X 40 days). Per DDS, Trended users based on history for WY 10 &amp; WY 11. Complete the following adjustments: WY 12 -- (25%) + 28; WY 13 -- (50%) +30; WY 14 -- (50%) +7; WY 15 -- +8. This should be half for the two services. </t>
    </r>
    <r>
      <rPr>
        <sz val="11"/>
        <color rgb="FFFF0000"/>
        <rFont val="Calibri"/>
        <family val="2"/>
        <scheme val="minor"/>
      </rPr>
      <t>How were the adjustments to the users determined?</t>
    </r>
    <r>
      <rPr>
        <sz val="11"/>
        <rFont val="Calibri"/>
        <family val="2"/>
        <scheme val="minor"/>
      </rPr>
      <t xml:space="preserve"> Long Term FU users will increase and Training will decrease for each service by half.</t>
    </r>
  </si>
  <si>
    <r>
      <t xml:space="preserve">Trended Avg units per user based WY 5 to WY 9, then limited to 1,280 (32 units per day X 40 days).  Trended users based on history for WY 10 &amp; WY 11. Complete the following adjustments: WY 12 -- (25%) + 28; WY 13 -- (50%) +30; WY 14 -- (50%) +7; WY 15 -- +8. This should be half for the two services. </t>
    </r>
    <r>
      <rPr>
        <sz val="11"/>
        <color rgb="FFFF0000"/>
        <rFont val="Calibri"/>
        <family val="2"/>
        <scheme val="minor"/>
      </rPr>
      <t>How were the adjustments to the users determined?</t>
    </r>
    <r>
      <rPr>
        <sz val="11"/>
        <rFont val="Calibri"/>
        <family val="2"/>
        <scheme val="minor"/>
      </rPr>
      <t xml:space="preserve"> Long Term FU users will increase and Training will decrease for each service by half.</t>
    </r>
  </si>
  <si>
    <r>
      <t xml:space="preserve">Trended Avg units per user from history, then limited to 8,320 (32 units per day X 260 days).  Trended WY 10 based on history. </t>
    </r>
    <r>
      <rPr>
        <sz val="11"/>
        <color rgb="FFFF0000"/>
        <rFont val="Calibri"/>
        <family val="2"/>
        <scheme val="minor"/>
      </rPr>
      <t>How were the users determined?</t>
    </r>
    <r>
      <rPr>
        <sz val="11"/>
        <rFont val="Calibri"/>
        <family val="2"/>
        <scheme val="minor"/>
      </rPr>
      <t xml:space="preserve"> Per DDS, estimated users at WY 11 +83, WY 12 +40, Divide WY 12 in half to arrive at WY 13 &amp; divide WY 13 in haf to arrive at WY 14/WY 15.</t>
    </r>
  </si>
  <si>
    <r>
      <t xml:space="preserve">Avg units per user limited to 8,320 (32 units per day X 260 days). Users Per DDS, WY10 - WY 12 Reduce trend based on LON score; WY 13 - WY 15 - then added 20 ppl per year.  </t>
    </r>
    <r>
      <rPr>
        <sz val="11"/>
        <color rgb="FFFF0000"/>
        <rFont val="Calibri"/>
        <family val="2"/>
        <scheme val="minor"/>
      </rPr>
      <t>How were the adjustments to the users determined?</t>
    </r>
    <r>
      <rPr>
        <sz val="11"/>
        <rFont val="Calibri"/>
        <family val="2"/>
        <scheme val="minor"/>
      </rPr>
      <t xml:space="preserve"> 70% of 30 is 21 X 4 days a week X 52WKs.</t>
    </r>
  </si>
  <si>
    <r>
      <t xml:space="preserve">Per DDS, they are keeping the service and it should not be deleted. Users should be projected at 20 users from WY 11 to WY 15. </t>
    </r>
    <r>
      <rPr>
        <sz val="11"/>
        <color rgb="FFFF0000"/>
        <rFont val="Calibri"/>
        <family val="2"/>
        <scheme val="minor"/>
      </rPr>
      <t>How were the users determined?</t>
    </r>
    <r>
      <rPr>
        <sz val="11"/>
        <rFont val="Calibri"/>
        <family val="2"/>
        <scheme val="minor"/>
      </rPr>
      <t xml:space="preserve"> Used the average units per user from WY 9 for WY 11 to WY 15.</t>
    </r>
  </si>
  <si>
    <r>
      <t xml:space="preserve">Avg units per user limited to 35,040 (96 units per day X 365 days). Based on the WY 9 quarterly units from DDS, the average was used to estimate WY 10 to WY 15. </t>
    </r>
    <r>
      <rPr>
        <sz val="11"/>
        <color rgb="FFFF0000"/>
        <rFont val="Calibri"/>
        <family val="2"/>
        <scheme val="minor"/>
      </rPr>
      <t>How were the users determined?</t>
    </r>
    <r>
      <rPr>
        <sz val="11"/>
        <rFont val="Calibri"/>
        <family val="2"/>
        <scheme val="minor"/>
      </rPr>
      <t xml:space="preserve"> Per DDS, the users should be the following: WY 11 - 3; WY 12 - 9; WY 13 - 12; WY 14 - 24; WY 15 - 24. </t>
    </r>
  </si>
  <si>
    <r>
      <t xml:space="preserve">Trended Avg units per user based on WY 2 to WY 4. Per DDS, Users should be as follows: WY 11 - 1; WY 12 - 3; WY 13 - 4; WY 14 - 6; WY 15 - 6. </t>
    </r>
    <r>
      <rPr>
        <sz val="11"/>
        <color rgb="FFFF0000"/>
        <rFont val="Calibri"/>
        <family val="2"/>
        <scheme val="minor"/>
      </rPr>
      <t>How were the users determined?</t>
    </r>
    <r>
      <rPr>
        <sz val="11"/>
        <rFont val="Calibri"/>
        <family val="2"/>
        <scheme val="minor"/>
      </rPr>
      <t xml:space="preserve"> Users should be based on the state plan. DDS waiver is setup as $65 per hour for 52 weeks at 4 hours.</t>
    </r>
  </si>
  <si>
    <r>
      <t xml:space="preserve">Trended Avg units per user then limited to 400 (16 units per day X 25 days). Used half of the users from Family Training (Small Group Prof) from WY 11 to WY 15. Per DDS, Users were estimated at the WY 11 - 4; WY 12 - 6, WY 13 to WY 15 - 12. </t>
    </r>
    <r>
      <rPr>
        <sz val="11"/>
        <color rgb="FFFF0000"/>
        <rFont val="Calibri"/>
        <family val="2"/>
        <scheme val="minor"/>
      </rPr>
      <t>How were the users determined?</t>
    </r>
  </si>
  <si>
    <r>
      <t xml:space="preserve">Used the trend of the avg units per user from Family Training (Prof) for WY 11 to WY 15.  Per DDS, Users were estimated at the WY 11 - 8; WY 12 - 12, WY 13 to WY 15 - 24. This program has a 2:1 correlation to Family Training (Prof). </t>
    </r>
    <r>
      <rPr>
        <sz val="11"/>
        <color rgb="FFFF0000"/>
        <rFont val="Calibri"/>
        <family val="2"/>
        <scheme val="minor"/>
      </rPr>
      <t>How were the users determined?</t>
    </r>
  </si>
  <si>
    <t xml:space="preserve">Per DDS, Trend Avg units per user from Speech, Hearing, Language from WY 1 to WY 9. Then, limited Avg units per user to 400 (16 units per day X 25 days). How were the users determined? Users estimated based around a percentage of total users once operational. </t>
  </si>
  <si>
    <t xml:space="preserve">Trended Avg units per user for WY 1 to WY 4. Per DDS, project the users as such: WY 11 - 2 users, WY - 3 users, WY's 13 to 15 - 5 users. How were the users determined? Based on the low utilization, the avg of WY 2 - WY 4 was used to estimate the users for WY 11 - WY 15.  </t>
  </si>
  <si>
    <t>Individualized Day Services</t>
  </si>
  <si>
    <t>Individualized Day Services (1:1)</t>
  </si>
  <si>
    <t>Hourly Rate</t>
  </si>
  <si>
    <t>Aggregate Change</t>
  </si>
  <si>
    <t>Total Individualized Day Services</t>
  </si>
  <si>
    <t xml:space="preserve">Companion </t>
  </si>
  <si>
    <t>Companion (Group)</t>
  </si>
  <si>
    <t>Total Companion</t>
  </si>
  <si>
    <t>Incremental Rate Change</t>
  </si>
  <si>
    <t>Supported Employment - Assessment Prof</t>
  </si>
  <si>
    <t>Supported Employment - Assessment Paraprof</t>
  </si>
  <si>
    <t>Supported Employment - Placement Prof</t>
  </si>
  <si>
    <t>Supported Employment - Placement Paraprof</t>
  </si>
  <si>
    <t>Supported Employment - Training Prof</t>
  </si>
  <si>
    <t>Supported Employment - Training Paraprof</t>
  </si>
  <si>
    <t>Total Supported Employment</t>
  </si>
  <si>
    <t>Flat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</si>
</sst>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_);\(&quot;$&quot;#,##0.00\)"/>
    <numFmt numFmtId="8" formatCode="&quot;$&quot;#,##0.00_);[Red]\(&quot;$&quot;#,##0.00\)"/>
    <numFmt numFmtId="44" formatCode="_(&quot;$&quot;* #,##0.00_);_(&quot;$&quot;* \(#,##0.00\);_(&quot;$&quot;* &quot;-&quot;??_);_(@_)"/>
    <numFmt numFmtId="43" formatCode="_(* #,##0.00_);_(* \(#,##0.00\);_(* &quot;-&quot;??_);_(@_)"/>
    <numFmt numFmtId="164" formatCode="#,##0.0_);\(#,##0.0\)"/>
    <numFmt numFmtId="165" formatCode="0.0"/>
    <numFmt numFmtId="166" formatCode="_(&quot;$&quot;* #,##0_);_(&quot;$&quot;* \(#,##0\);_(&quot;$&quot;* &quot;-&quot;??_);_(@_)"/>
    <numFmt numFmtId="167" formatCode="m/d/yy;@"/>
    <numFmt numFmtId="168" formatCode="_(* #,##0_);_(* \(#,##0\);_(* &quot;-&quot;??_);_(@_)"/>
    <numFmt numFmtId="169" formatCode="0.0%"/>
    <numFmt numFmtId="170" formatCode="&quot;$&quot;#,##0.00"/>
    <numFmt numFmtId="171" formatCode="_(* #,##0.0_);_(* \(#,##0.0\);_(* &quot;-&quot;??_);_(@_)"/>
  </numFmts>
  <fonts count="59" x14ac:knownFonts="1">
    <font>
      <sz val="11"/>
      <color theme="1"/>
      <name val="Calibri"/>
      <family val="2"/>
      <scheme val="minor"/>
    </font>
    <font>
      <sz val="11"/>
      <name val="Calibri"/>
      <family val="2"/>
    </font>
    <font>
      <sz val="11"/>
      <name val="Calibri"/>
      <family val="2"/>
    </font>
    <font>
      <sz val="11"/>
      <name val="Calibri"/>
      <family val="2"/>
    </font>
    <font>
      <sz val="11"/>
      <color indexed="8"/>
      <name val="Calibri"/>
      <family val="2"/>
    </font>
    <font>
      <b/>
      <sz val="11"/>
      <color indexed="8"/>
      <name val="Calibri"/>
      <family val="2"/>
    </font>
    <font>
      <sz val="8"/>
      <name val="Calibri"/>
      <family val="2"/>
    </font>
    <font>
      <sz val="11"/>
      <color theme="1"/>
      <name val="Calibri"/>
      <family val="2"/>
      <scheme val="minor"/>
    </font>
    <font>
      <sz val="11"/>
      <color rgb="FFFF0000"/>
      <name val="Calibri"/>
      <family val="2"/>
      <scheme val="minor"/>
    </font>
    <font>
      <sz val="11"/>
      <color indexed="10"/>
      <name val="Calibri"/>
      <family val="2"/>
    </font>
    <font>
      <sz val="11"/>
      <name val="Calibri"/>
      <family val="2"/>
    </font>
    <font>
      <sz val="11"/>
      <name val="Calibri"/>
      <family val="2"/>
      <scheme val="minor"/>
    </font>
    <font>
      <b/>
      <sz val="11"/>
      <name val="Calibri"/>
      <family val="2"/>
    </font>
    <font>
      <b/>
      <sz val="11"/>
      <color theme="1"/>
      <name val="Calibri"/>
      <family val="2"/>
      <scheme val="minor"/>
    </font>
    <font>
      <sz val="11"/>
      <color rgb="FF1F497D"/>
      <name val="Calibri"/>
      <family val="2"/>
      <scheme val="minor"/>
    </font>
    <font>
      <i/>
      <sz val="11"/>
      <color theme="1"/>
      <name val="Calibri"/>
      <family val="2"/>
      <scheme val="minor"/>
    </font>
    <font>
      <u/>
      <sz val="11"/>
      <name val="Calibri"/>
      <family val="2"/>
      <scheme val="minor"/>
    </font>
    <font>
      <b/>
      <sz val="11"/>
      <name val="Calibri"/>
      <family val="2"/>
      <scheme val="minor"/>
    </font>
    <font>
      <b/>
      <sz val="11"/>
      <color rgb="FF00B0F0"/>
      <name val="Calibri"/>
      <family val="2"/>
      <scheme val="minor"/>
    </font>
    <font>
      <b/>
      <sz val="11"/>
      <color theme="9" tint="-0.249977111117893"/>
      <name val="Calibri"/>
      <family val="2"/>
      <scheme val="minor"/>
    </font>
    <font>
      <b/>
      <sz val="11"/>
      <color rgb="FFFF0000"/>
      <name val="Calibri"/>
      <family val="2"/>
      <scheme val="minor"/>
    </font>
    <font>
      <sz val="8"/>
      <name val="Verdana"/>
      <family val="2"/>
    </font>
    <font>
      <sz val="9"/>
      <color indexed="81"/>
      <name val="Tahoma"/>
      <family val="2"/>
    </font>
    <font>
      <b/>
      <sz val="9"/>
      <color indexed="81"/>
      <name val="Tahoma"/>
      <family val="2"/>
    </font>
    <font>
      <u/>
      <sz val="11"/>
      <color theme="1"/>
      <name val="Calibri"/>
      <family val="2"/>
      <scheme val="minor"/>
    </font>
    <font>
      <i/>
      <sz val="9"/>
      <name val="Calibri"/>
      <family val="2"/>
      <scheme val="minor"/>
    </font>
    <font>
      <sz val="8"/>
      <color theme="1"/>
      <name val="Calibri"/>
      <family val="2"/>
      <scheme val="minor"/>
    </font>
    <font>
      <sz val="10"/>
      <name val="Calibri"/>
      <family val="2"/>
      <scheme val="minor"/>
    </font>
    <font>
      <b/>
      <sz val="10"/>
      <name val="Calibri"/>
      <family val="2"/>
      <scheme val="minor"/>
    </font>
    <font>
      <b/>
      <i/>
      <sz val="11"/>
      <name val="Calibri"/>
      <family val="2"/>
      <scheme val="minor"/>
    </font>
    <font>
      <b/>
      <u/>
      <sz val="11"/>
      <name val="Calibri"/>
      <family val="2"/>
      <scheme val="minor"/>
    </font>
    <font>
      <sz val="11"/>
      <color theme="3"/>
      <name val="Calibri"/>
      <family val="2"/>
      <scheme val="minor"/>
    </font>
    <font>
      <b/>
      <i/>
      <sz val="11"/>
      <color theme="3"/>
      <name val="Calibri"/>
      <family val="2"/>
      <scheme val="minor"/>
    </font>
    <font>
      <i/>
      <sz val="11"/>
      <color theme="3"/>
      <name val="Calibri"/>
      <family val="2"/>
      <scheme val="minor"/>
    </font>
    <font>
      <sz val="11"/>
      <color theme="9" tint="-0.499984740745262"/>
      <name val="Calibri"/>
      <family val="2"/>
      <scheme val="minor"/>
    </font>
    <font>
      <sz val="11"/>
      <color rgb="FFC00000"/>
      <name val="Calibri"/>
      <family val="2"/>
      <scheme val="minor"/>
    </font>
    <font>
      <b/>
      <sz val="11"/>
      <color theme="3"/>
      <name val="Calibri"/>
      <family val="2"/>
      <scheme val="minor"/>
    </font>
    <font>
      <i/>
      <sz val="11"/>
      <name val="Calibri"/>
      <family val="2"/>
      <scheme val="minor"/>
    </font>
    <font>
      <b/>
      <u/>
      <sz val="11"/>
      <color theme="1"/>
      <name val="Calibri"/>
      <family val="2"/>
      <scheme val="minor"/>
    </font>
    <font>
      <i/>
      <sz val="8"/>
      <color theme="1"/>
      <name val="Calibri"/>
      <family val="2"/>
      <scheme val="minor"/>
    </font>
    <font>
      <b/>
      <sz val="11"/>
      <color theme="0"/>
      <name val="Calibri"/>
      <family val="2"/>
      <scheme val="minor"/>
    </font>
    <font>
      <sz val="11"/>
      <color theme="0"/>
      <name val="Calibri"/>
      <family val="2"/>
      <scheme val="minor"/>
    </font>
    <font>
      <sz val="11"/>
      <color theme="0"/>
      <name val="Calibri"/>
      <family val="2"/>
    </font>
    <font>
      <b/>
      <sz val="11"/>
      <color theme="0"/>
      <name val="Calibri"/>
      <family val="2"/>
    </font>
    <font>
      <b/>
      <u/>
      <sz val="11"/>
      <color theme="0"/>
      <name val="Calibri"/>
      <family val="2"/>
      <scheme val="minor"/>
    </font>
    <font>
      <sz val="10"/>
      <color theme="1"/>
      <name val="Calibri"/>
      <family val="2"/>
      <scheme val="minor"/>
    </font>
    <font>
      <sz val="10"/>
      <name val="Times New Roman"/>
      <family val="1"/>
    </font>
    <font>
      <b/>
      <sz val="10"/>
      <color rgb="FFFF0000"/>
      <name val="Calibri"/>
      <family val="2"/>
      <scheme val="minor"/>
    </font>
    <font>
      <b/>
      <sz val="10"/>
      <color theme="6" tint="-0.499984740745262"/>
      <name val="Calibri"/>
      <family val="2"/>
      <scheme val="minor"/>
    </font>
    <font>
      <sz val="10"/>
      <color rgb="FFFF0000"/>
      <name val="Calibri"/>
      <family val="2"/>
      <scheme val="minor"/>
    </font>
    <font>
      <sz val="10"/>
      <color theme="6" tint="-0.499984740745262"/>
      <name val="Calibri"/>
      <family val="2"/>
      <scheme val="minor"/>
    </font>
    <font>
      <b/>
      <sz val="10"/>
      <name val="Times New Roman"/>
      <family val="1"/>
    </font>
    <font>
      <b/>
      <u/>
      <sz val="10"/>
      <color theme="1"/>
      <name val="Calibri"/>
      <family val="2"/>
      <scheme val="minor"/>
    </font>
    <font>
      <i/>
      <sz val="10"/>
      <color theme="0"/>
      <name val="Calibri"/>
      <family val="2"/>
      <scheme val="minor"/>
    </font>
    <font>
      <i/>
      <sz val="9"/>
      <color theme="0"/>
      <name val="Calibri"/>
      <family val="2"/>
      <scheme val="minor"/>
    </font>
    <font>
      <sz val="11"/>
      <color rgb="FF00B0F0"/>
      <name val="Calibri"/>
      <family val="2"/>
      <scheme val="minor"/>
    </font>
    <font>
      <sz val="11"/>
      <color theme="9" tint="-0.249977111117893"/>
      <name val="Calibri"/>
      <family val="2"/>
      <scheme val="minor"/>
    </font>
    <font>
      <i/>
      <sz val="10"/>
      <name val="Calibri"/>
      <family val="2"/>
      <scheme val="minor"/>
    </font>
    <font>
      <b/>
      <i/>
      <sz val="11"/>
      <color theme="1"/>
      <name val="Calibri"/>
      <family val="2"/>
      <scheme val="minor"/>
    </font>
  </fonts>
  <fills count="25">
    <fill>
      <patternFill patternType="none"/>
    </fill>
    <fill>
      <patternFill patternType="gray125"/>
    </fill>
    <fill>
      <patternFill patternType="solid">
        <fgColor indexed="2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FF0000"/>
        <bgColor indexed="64"/>
      </patternFill>
    </fill>
    <fill>
      <patternFill patternType="solid">
        <fgColor theme="1"/>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theme="4" tint="0.39997558519241921"/>
      </top>
      <bottom style="thin">
        <color theme="4" tint="0.39997558519241921"/>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4">
    <xf numFmtId="0" fontId="0"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cellStyleXfs>
  <cellXfs count="742">
    <xf numFmtId="0" fontId="0" fillId="0" borderId="0" xfId="0"/>
    <xf numFmtId="0" fontId="5" fillId="0" borderId="1" xfId="0" applyFont="1" applyBorder="1"/>
    <xf numFmtId="0" fontId="0" fillId="0" borderId="1" xfId="0" applyBorder="1"/>
    <xf numFmtId="0" fontId="4" fillId="0" borderId="1" xfId="0" applyFont="1" applyBorder="1"/>
    <xf numFmtId="0" fontId="0" fillId="0" borderId="0" xfId="0" applyAlignment="1">
      <alignment horizontal="center"/>
    </xf>
    <xf numFmtId="7" fontId="0" fillId="0" borderId="1" xfId="0" applyNumberFormat="1" applyBorder="1"/>
    <xf numFmtId="7" fontId="0" fillId="0" borderId="0" xfId="0" applyNumberFormat="1"/>
    <xf numFmtId="37" fontId="0" fillId="0" borderId="1" xfId="0" applyNumberFormat="1" applyBorder="1"/>
    <xf numFmtId="164" fontId="0" fillId="0" borderId="1" xfId="0" applyNumberFormat="1" applyBorder="1"/>
    <xf numFmtId="7" fontId="0" fillId="0" borderId="1" xfId="0" applyNumberFormat="1" applyFill="1" applyBorder="1" applyAlignment="1"/>
    <xf numFmtId="37" fontId="0" fillId="0" borderId="0" xfId="0" applyNumberFormat="1" applyAlignment="1">
      <alignment horizontal="center"/>
    </xf>
    <xf numFmtId="0" fontId="0" fillId="0" borderId="2" xfId="0" applyBorder="1" applyAlignment="1"/>
    <xf numFmtId="0" fontId="0" fillId="0" borderId="2" xfId="0" applyBorder="1" applyAlignment="1"/>
    <xf numFmtId="0" fontId="5" fillId="0" borderId="2" xfId="0" applyFont="1" applyBorder="1" applyAlignment="1"/>
    <xf numFmtId="0" fontId="5" fillId="0" borderId="1" xfId="0" applyFont="1" applyBorder="1" applyAlignment="1">
      <alignment horizontal="center"/>
    </xf>
    <xf numFmtId="37" fontId="0" fillId="0" borderId="1" xfId="0" applyNumberFormat="1" applyFill="1" applyBorder="1"/>
    <xf numFmtId="7" fontId="0" fillId="0" borderId="1" xfId="0" applyNumberFormat="1" applyFill="1" applyBorder="1"/>
    <xf numFmtId="0" fontId="8" fillId="0" borderId="0" xfId="0" applyFont="1"/>
    <xf numFmtId="7" fontId="8" fillId="0" borderId="0" xfId="0" applyNumberFormat="1" applyFont="1" applyBorder="1"/>
    <xf numFmtId="0" fontId="9" fillId="0" borderId="0" xfId="0" applyFont="1" applyBorder="1"/>
    <xf numFmtId="0" fontId="10" fillId="0" borderId="1" xfId="0" applyFont="1" applyBorder="1"/>
    <xf numFmtId="37" fontId="11" fillId="0" borderId="1" xfId="0" applyNumberFormat="1" applyFont="1" applyBorder="1"/>
    <xf numFmtId="164" fontId="11" fillId="0" borderId="1" xfId="0" applyNumberFormat="1" applyFont="1" applyBorder="1"/>
    <xf numFmtId="164" fontId="11" fillId="0" borderId="1" xfId="0" applyNumberFormat="1" applyFont="1" applyFill="1" applyBorder="1"/>
    <xf numFmtId="7" fontId="11" fillId="0" borderId="1" xfId="0" applyNumberFormat="1" applyFont="1" applyBorder="1"/>
    <xf numFmtId="7" fontId="11" fillId="0" borderId="1" xfId="0" applyNumberFormat="1" applyFont="1" applyFill="1" applyBorder="1"/>
    <xf numFmtId="37" fontId="11" fillId="0" borderId="1" xfId="0" applyNumberFormat="1" applyFont="1" applyFill="1" applyBorder="1"/>
    <xf numFmtId="165" fontId="11" fillId="0" borderId="1" xfId="0" applyNumberFormat="1" applyFont="1" applyBorder="1"/>
    <xf numFmtId="0" fontId="12" fillId="0" borderId="1" xfId="0" applyFont="1" applyBorder="1" applyAlignment="1">
      <alignment horizontal="center"/>
    </xf>
    <xf numFmtId="7" fontId="11" fillId="0" borderId="0" xfId="0" applyNumberFormat="1" applyFont="1"/>
    <xf numFmtId="0" fontId="11" fillId="0" borderId="0" xfId="0" applyFont="1" applyAlignment="1">
      <alignment horizontal="center"/>
    </xf>
    <xf numFmtId="0" fontId="11" fillId="0" borderId="0" xfId="0" applyFont="1"/>
    <xf numFmtId="0" fontId="10" fillId="0" borderId="1" xfId="0" applyFont="1" applyBorder="1" applyAlignment="1"/>
    <xf numFmtId="166" fontId="11" fillId="0" borderId="1" xfId="1" applyNumberFormat="1" applyFont="1" applyBorder="1"/>
    <xf numFmtId="0" fontId="12" fillId="0" borderId="1" xfId="0" applyFont="1" applyBorder="1" applyAlignment="1">
      <alignment horizontal="center" wrapText="1"/>
    </xf>
    <xf numFmtId="0" fontId="12" fillId="4" borderId="1" xfId="0" applyFont="1" applyFill="1" applyBorder="1" applyAlignment="1">
      <alignment horizontal="center"/>
    </xf>
    <xf numFmtId="0" fontId="13" fillId="0" borderId="0" xfId="0" applyFont="1"/>
    <xf numFmtId="167" fontId="0" fillId="0" borderId="0" xfId="0" applyNumberFormat="1" applyAlignment="1">
      <alignment horizontal="center" wrapText="1"/>
    </xf>
    <xf numFmtId="0" fontId="14" fillId="0" borderId="0" xfId="0" applyFont="1" applyAlignment="1">
      <alignment horizontal="left" indent="5"/>
    </xf>
    <xf numFmtId="10" fontId="0" fillId="0" borderId="1" xfId="2" applyNumberFormat="1" applyFont="1" applyBorder="1"/>
    <xf numFmtId="0" fontId="0" fillId="0" borderId="1" xfId="0" quotePrefix="1" applyBorder="1" applyAlignment="1">
      <alignment horizontal="center"/>
    </xf>
    <xf numFmtId="0" fontId="15" fillId="0" borderId="1" xfId="0" applyFont="1" applyBorder="1"/>
    <xf numFmtId="0" fontId="15" fillId="0" borderId="1" xfId="0" applyFont="1" applyFill="1" applyBorder="1"/>
    <xf numFmtId="0" fontId="12" fillId="0" borderId="1" xfId="0" applyFont="1" applyBorder="1" applyAlignment="1">
      <alignment horizontal="center"/>
    </xf>
    <xf numFmtId="0" fontId="0" fillId="0" borderId="13" xfId="0" applyFill="1" applyBorder="1"/>
    <xf numFmtId="0" fontId="0" fillId="6" borderId="1" xfId="0" applyFill="1" applyBorder="1"/>
    <xf numFmtId="37" fontId="11" fillId="6" borderId="1" xfId="0" applyNumberFormat="1" applyFont="1" applyFill="1" applyBorder="1"/>
    <xf numFmtId="164" fontId="11" fillId="6" borderId="1" xfId="0" applyNumberFormat="1" applyFont="1" applyFill="1" applyBorder="1"/>
    <xf numFmtId="7" fontId="11" fillId="6" borderId="1" xfId="0" applyNumberFormat="1" applyFont="1" applyFill="1" applyBorder="1"/>
    <xf numFmtId="0" fontId="0" fillId="6" borderId="0" xfId="0" applyFill="1"/>
    <xf numFmtId="0" fontId="12" fillId="0" borderId="1" xfId="0" applyFont="1" applyBorder="1" applyAlignment="1">
      <alignment horizontal="center"/>
    </xf>
    <xf numFmtId="0" fontId="12" fillId="0" borderId="1" xfId="0" applyFont="1" applyBorder="1" applyAlignment="1">
      <alignment horizontal="center"/>
    </xf>
    <xf numFmtId="0" fontId="10" fillId="0" borderId="1" xfId="0" applyFont="1" applyFill="1" applyBorder="1"/>
    <xf numFmtId="0" fontId="12" fillId="9" borderId="1" xfId="0" applyFont="1" applyFill="1" applyBorder="1"/>
    <xf numFmtId="0" fontId="12" fillId="9" borderId="1" xfId="0" applyFont="1" applyFill="1" applyBorder="1" applyAlignment="1">
      <alignment wrapText="1"/>
    </xf>
    <xf numFmtId="0" fontId="12" fillId="11" borderId="1" xfId="0" applyFont="1" applyFill="1" applyBorder="1"/>
    <xf numFmtId="0" fontId="12" fillId="11" borderId="1" xfId="0" applyFont="1" applyFill="1" applyBorder="1" applyAlignment="1">
      <alignment wrapText="1"/>
    </xf>
    <xf numFmtId="0" fontId="12" fillId="5" borderId="1" xfId="0" applyFont="1" applyFill="1" applyBorder="1"/>
    <xf numFmtId="0" fontId="12" fillId="5" borderId="1" xfId="0" applyFont="1" applyFill="1" applyBorder="1" applyAlignment="1">
      <alignment wrapText="1"/>
    </xf>
    <xf numFmtId="0" fontId="12" fillId="12" borderId="1" xfId="0" applyFont="1" applyFill="1" applyBorder="1"/>
    <xf numFmtId="0" fontId="12" fillId="12" borderId="1" xfId="0" applyFont="1" applyFill="1" applyBorder="1" applyAlignment="1">
      <alignment wrapText="1"/>
    </xf>
    <xf numFmtId="0" fontId="5" fillId="7" borderId="1" xfId="0" applyFont="1" applyFill="1" applyBorder="1"/>
    <xf numFmtId="0" fontId="5" fillId="7" borderId="1" xfId="0" applyFont="1" applyFill="1" applyBorder="1" applyAlignment="1">
      <alignment wrapText="1"/>
    </xf>
    <xf numFmtId="0" fontId="5" fillId="8" borderId="1" xfId="0" applyFont="1" applyFill="1" applyBorder="1"/>
    <xf numFmtId="0" fontId="5" fillId="8" borderId="1" xfId="0" applyFont="1" applyFill="1" applyBorder="1" applyAlignment="1">
      <alignment wrapText="1"/>
    </xf>
    <xf numFmtId="0" fontId="5" fillId="10" borderId="1" xfId="0" applyFont="1" applyFill="1" applyBorder="1"/>
    <xf numFmtId="0" fontId="5" fillId="10" borderId="1" xfId="0" applyFont="1" applyFill="1" applyBorder="1" applyAlignment="1">
      <alignment wrapText="1"/>
    </xf>
    <xf numFmtId="0" fontId="5" fillId="14" borderId="1" xfId="0" applyFont="1" applyFill="1" applyBorder="1"/>
    <xf numFmtId="0" fontId="5" fillId="14" borderId="1" xfId="0" applyFont="1" applyFill="1" applyBorder="1" applyAlignment="1">
      <alignment wrapText="1"/>
    </xf>
    <xf numFmtId="0" fontId="5" fillId="15" borderId="1" xfId="0" applyFont="1" applyFill="1" applyBorder="1"/>
    <xf numFmtId="0" fontId="5" fillId="15" borderId="1" xfId="0" applyFont="1" applyFill="1" applyBorder="1" applyAlignment="1">
      <alignment wrapText="1"/>
    </xf>
    <xf numFmtId="164" fontId="0" fillId="0" borderId="1" xfId="0" applyNumberFormat="1" applyFill="1" applyBorder="1"/>
    <xf numFmtId="0" fontId="0" fillId="0" borderId="0" xfId="0" applyFill="1"/>
    <xf numFmtId="43" fontId="0" fillId="0" borderId="0" xfId="3" applyFont="1"/>
    <xf numFmtId="43" fontId="8" fillId="0" borderId="0" xfId="3" applyFont="1"/>
    <xf numFmtId="0" fontId="0" fillId="0" borderId="1" xfId="0" applyBorder="1" applyAlignment="1">
      <alignment horizontal="center"/>
    </xf>
    <xf numFmtId="7" fontId="0" fillId="0" borderId="1" xfId="0" applyNumberFormat="1" applyBorder="1" applyAlignment="1">
      <alignment horizontal="center"/>
    </xf>
    <xf numFmtId="0" fontId="8" fillId="0" borderId="0" xfId="0" applyFont="1" applyFill="1"/>
    <xf numFmtId="0" fontId="13" fillId="11" borderId="1" xfId="0" applyFont="1" applyFill="1" applyBorder="1" applyAlignment="1">
      <alignment horizontal="center"/>
    </xf>
    <xf numFmtId="0" fontId="11" fillId="0" borderId="1" xfId="0" applyFont="1" applyFill="1" applyBorder="1"/>
    <xf numFmtId="0" fontId="11" fillId="0" borderId="1" xfId="0" applyFont="1" applyBorder="1"/>
    <xf numFmtId="0" fontId="11" fillId="10" borderId="1" xfId="0" applyFont="1" applyFill="1" applyBorder="1"/>
    <xf numFmtId="0" fontId="11" fillId="0" borderId="13" xfId="0" applyFont="1" applyFill="1" applyBorder="1"/>
    <xf numFmtId="0" fontId="11" fillId="5" borderId="1" xfId="0" applyFont="1" applyFill="1" applyBorder="1"/>
    <xf numFmtId="0" fontId="12" fillId="0" borderId="1" xfId="0" applyFont="1" applyBorder="1"/>
    <xf numFmtId="0" fontId="3" fillId="0" borderId="1" xfId="0" applyFont="1" applyBorder="1"/>
    <xf numFmtId="0" fontId="11" fillId="0" borderId="0" xfId="0" applyFont="1" applyFill="1"/>
    <xf numFmtId="0" fontId="17" fillId="0" borderId="0" xfId="0" applyFont="1"/>
    <xf numFmtId="164" fontId="11" fillId="0" borderId="0" xfId="0" applyNumberFormat="1" applyFont="1"/>
    <xf numFmtId="164" fontId="12" fillId="4" borderId="1" xfId="0" applyNumberFormat="1" applyFont="1" applyFill="1" applyBorder="1" applyAlignment="1">
      <alignment horizontal="center" wrapText="1"/>
    </xf>
    <xf numFmtId="37" fontId="11" fillId="0" borderId="0" xfId="0" applyNumberFormat="1" applyFont="1"/>
    <xf numFmtId="37" fontId="12" fillId="4" borderId="1" xfId="0" applyNumberFormat="1" applyFont="1" applyFill="1" applyBorder="1" applyAlignment="1">
      <alignment horizontal="center"/>
    </xf>
    <xf numFmtId="37" fontId="0" fillId="0" borderId="0" xfId="0" applyNumberFormat="1"/>
    <xf numFmtId="168" fontId="5" fillId="13" borderId="1" xfId="3" applyNumberFormat="1" applyFont="1" applyFill="1" applyBorder="1"/>
    <xf numFmtId="44" fontId="0" fillId="0" borderId="1" xfId="1" applyFont="1" applyFill="1" applyBorder="1"/>
    <xf numFmtId="0" fontId="0" fillId="16" borderId="0" xfId="0" applyFill="1"/>
    <xf numFmtId="0" fontId="0" fillId="16" borderId="1" xfId="0" applyFill="1" applyBorder="1"/>
    <xf numFmtId="0" fontId="8" fillId="16" borderId="0" xfId="0" applyFont="1" applyFill="1"/>
    <xf numFmtId="164" fontId="0" fillId="16" borderId="1" xfId="0" applyNumberFormat="1" applyFill="1" applyBorder="1"/>
    <xf numFmtId="164" fontId="8" fillId="16" borderId="1" xfId="0" applyNumberFormat="1" applyFont="1" applyFill="1" applyBorder="1"/>
    <xf numFmtId="0" fontId="11" fillId="16" borderId="1" xfId="0" applyFont="1" applyFill="1" applyBorder="1"/>
    <xf numFmtId="168" fontId="0" fillId="0" borderId="0" xfId="3" applyNumberFormat="1" applyFont="1" applyFill="1"/>
    <xf numFmtId="168" fontId="0" fillId="0" borderId="1" xfId="3" applyNumberFormat="1" applyFont="1" applyFill="1" applyBorder="1"/>
    <xf numFmtId="168" fontId="0" fillId="0" borderId="0" xfId="3" applyNumberFormat="1" applyFont="1" applyFill="1" applyAlignment="1">
      <alignment horizontal="center"/>
    </xf>
    <xf numFmtId="43" fontId="0" fillId="0" borderId="0" xfId="3" applyFont="1" applyFill="1"/>
    <xf numFmtId="44" fontId="0" fillId="0" borderId="0" xfId="1" applyFont="1" applyFill="1"/>
    <xf numFmtId="37" fontId="0" fillId="0" borderId="0" xfId="0" applyNumberFormat="1" applyFill="1" applyAlignment="1">
      <alignment horizontal="center"/>
    </xf>
    <xf numFmtId="43" fontId="0" fillId="0" borderId="0" xfId="3" applyFont="1" applyFill="1" applyAlignment="1">
      <alignment horizontal="center"/>
    </xf>
    <xf numFmtId="44" fontId="0" fillId="0" borderId="0" xfId="1" applyFont="1" applyFill="1" applyAlignment="1">
      <alignment horizontal="center"/>
    </xf>
    <xf numFmtId="0" fontId="4" fillId="0" borderId="1" xfId="0" applyFont="1" applyFill="1" applyBorder="1"/>
    <xf numFmtId="0" fontId="0" fillId="0" borderId="1" xfId="0" applyFill="1" applyBorder="1"/>
    <xf numFmtId="0" fontId="8" fillId="16" borderId="1" xfId="0" applyFont="1" applyFill="1" applyBorder="1"/>
    <xf numFmtId="37" fontId="8" fillId="16" borderId="1" xfId="0" applyNumberFormat="1" applyFont="1" applyFill="1" applyBorder="1"/>
    <xf numFmtId="7" fontId="8" fillId="16" borderId="1" xfId="0" applyNumberFormat="1" applyFont="1" applyFill="1" applyBorder="1"/>
    <xf numFmtId="168" fontId="8" fillId="16" borderId="1" xfId="3" applyNumberFormat="1" applyFont="1" applyFill="1" applyBorder="1"/>
    <xf numFmtId="44" fontId="8" fillId="16" borderId="1" xfId="1" applyFont="1" applyFill="1" applyBorder="1"/>
    <xf numFmtId="37" fontId="11" fillId="16" borderId="1" xfId="0" applyNumberFormat="1" applyFont="1" applyFill="1" applyBorder="1"/>
    <xf numFmtId="164" fontId="11" fillId="16" borderId="1" xfId="0" applyNumberFormat="1" applyFont="1" applyFill="1" applyBorder="1"/>
    <xf numFmtId="7" fontId="11" fillId="16" borderId="1" xfId="0" applyNumberFormat="1" applyFont="1" applyFill="1" applyBorder="1"/>
    <xf numFmtId="168" fontId="0" fillId="16" borderId="1" xfId="3" applyNumberFormat="1" applyFont="1" applyFill="1" applyBorder="1"/>
    <xf numFmtId="44" fontId="0" fillId="16" borderId="1" xfId="1" applyFont="1" applyFill="1" applyBorder="1"/>
    <xf numFmtId="37" fontId="0" fillId="16" borderId="1" xfId="0" applyNumberFormat="1" applyFill="1" applyBorder="1"/>
    <xf numFmtId="7" fontId="0" fillId="16" borderId="1" xfId="0" applyNumberFormat="1" applyFill="1" applyBorder="1"/>
    <xf numFmtId="168" fontId="11" fillId="16" borderId="1" xfId="3" applyNumberFormat="1" applyFont="1" applyFill="1" applyBorder="1"/>
    <xf numFmtId="44" fontId="11" fillId="16" borderId="1" xfId="1" applyFont="1" applyFill="1" applyBorder="1"/>
    <xf numFmtId="0" fontId="5" fillId="13" borderId="1" xfId="0" applyFont="1" applyFill="1" applyBorder="1" applyAlignment="1">
      <alignment wrapText="1"/>
    </xf>
    <xf numFmtId="168" fontId="5" fillId="13" borderId="1" xfId="3" applyNumberFormat="1" applyFont="1" applyFill="1" applyBorder="1" applyAlignment="1">
      <alignment wrapText="1"/>
    </xf>
    <xf numFmtId="44" fontId="5" fillId="13" borderId="1" xfId="1" applyFont="1" applyFill="1" applyBorder="1"/>
    <xf numFmtId="44" fontId="5" fillId="13" borderId="1" xfId="1" applyFont="1" applyFill="1" applyBorder="1" applyAlignment="1">
      <alignment wrapText="1"/>
    </xf>
    <xf numFmtId="0" fontId="12" fillId="7" borderId="1" xfId="0" applyFont="1" applyFill="1" applyBorder="1" applyAlignment="1">
      <alignment horizontal="center"/>
    </xf>
    <xf numFmtId="0" fontId="3" fillId="0" borderId="1" xfId="0" applyFont="1" applyFill="1" applyBorder="1"/>
    <xf numFmtId="0" fontId="12" fillId="0" borderId="0" xfId="0" applyFont="1" applyBorder="1" applyAlignment="1">
      <alignment horizontal="left"/>
    </xf>
    <xf numFmtId="0" fontId="11" fillId="0" borderId="0" xfId="0" applyFont="1" applyBorder="1" applyAlignment="1">
      <alignment horizontal="center"/>
    </xf>
    <xf numFmtId="0" fontId="12" fillId="0" borderId="1" xfId="0" applyFont="1" applyBorder="1" applyAlignment="1">
      <alignment horizontal="left" vertical="center" wrapText="1"/>
    </xf>
    <xf numFmtId="0" fontId="17" fillId="0" borderId="1" xfId="0" applyFont="1" applyBorder="1" applyAlignment="1">
      <alignment horizontal="left" vertical="center" wrapText="1"/>
    </xf>
    <xf numFmtId="0" fontId="11" fillId="0" borderId="0" xfId="0" applyFont="1" applyAlignment="1">
      <alignment horizontal="left"/>
    </xf>
    <xf numFmtId="169" fontId="12" fillId="0" borderId="0" xfId="2" applyNumberFormat="1" applyFont="1" applyBorder="1" applyAlignment="1">
      <alignment horizontal="center"/>
    </xf>
    <xf numFmtId="0" fontId="10" fillId="7" borderId="1" xfId="0" applyFont="1" applyFill="1" applyBorder="1" applyAlignment="1"/>
    <xf numFmtId="164" fontId="11" fillId="7" borderId="1" xfId="0" applyNumberFormat="1" applyFont="1" applyFill="1" applyBorder="1"/>
    <xf numFmtId="7" fontId="11" fillId="7" borderId="1" xfId="0" applyNumberFormat="1" applyFont="1" applyFill="1" applyBorder="1"/>
    <xf numFmtId="0" fontId="10" fillId="7" borderId="1" xfId="0" applyFont="1" applyFill="1" applyBorder="1"/>
    <xf numFmtId="166" fontId="11" fillId="7" borderId="1" xfId="1" applyNumberFormat="1" applyFont="1" applyFill="1" applyBorder="1"/>
    <xf numFmtId="44" fontId="11" fillId="0" borderId="0" xfId="0" applyNumberFormat="1" applyFont="1" applyFill="1" applyBorder="1"/>
    <xf numFmtId="0" fontId="11" fillId="0" borderId="1" xfId="0" applyFont="1" applyBorder="1" applyAlignment="1">
      <alignment horizontal="left"/>
    </xf>
    <xf numFmtId="0" fontId="10" fillId="0" borderId="1" xfId="0" applyFont="1" applyFill="1" applyBorder="1" applyAlignment="1"/>
    <xf numFmtId="166" fontId="11" fillId="0" borderId="1" xfId="1" applyNumberFormat="1" applyFont="1" applyFill="1" applyBorder="1"/>
    <xf numFmtId="0" fontId="12" fillId="0" borderId="1" xfId="0" applyFont="1" applyFill="1" applyBorder="1" applyAlignment="1">
      <alignment horizontal="center"/>
    </xf>
    <xf numFmtId="0" fontId="17" fillId="0" borderId="1" xfId="0" applyFont="1" applyBorder="1"/>
    <xf numFmtId="37" fontId="11" fillId="7" borderId="1" xfId="0" applyNumberFormat="1" applyFont="1" applyFill="1" applyBorder="1"/>
    <xf numFmtId="10" fontId="11" fillId="0" borderId="1" xfId="2" applyNumberFormat="1" applyFont="1" applyBorder="1"/>
    <xf numFmtId="0" fontId="12" fillId="7" borderId="1" xfId="0" applyFont="1" applyFill="1" applyBorder="1" applyAlignment="1">
      <alignment horizontal="center"/>
    </xf>
    <xf numFmtId="0" fontId="17" fillId="7" borderId="1" xfId="0" applyFont="1" applyFill="1" applyBorder="1"/>
    <xf numFmtId="10" fontId="11" fillId="7" borderId="1" xfId="2" applyNumberFormat="1" applyFont="1" applyFill="1" applyBorder="1"/>
    <xf numFmtId="37" fontId="11" fillId="0" borderId="0" xfId="0" applyNumberFormat="1" applyFont="1" applyBorder="1"/>
    <xf numFmtId="10" fontId="11" fillId="0" borderId="0" xfId="2" applyNumberFormat="1" applyFont="1" applyBorder="1"/>
    <xf numFmtId="0" fontId="10" fillId="0" borderId="0" xfId="0" applyFont="1" applyFill="1" applyBorder="1"/>
    <xf numFmtId="166" fontId="18" fillId="0" borderId="0" xfId="1" applyNumberFormat="1" applyFont="1" applyFill="1" applyBorder="1"/>
    <xf numFmtId="0" fontId="12" fillId="7" borderId="1" xfId="0" applyFont="1" applyFill="1" applyBorder="1" applyAlignment="1">
      <alignment horizontal="center"/>
    </xf>
    <xf numFmtId="0" fontId="10" fillId="0" borderId="0" xfId="0" applyFont="1" applyBorder="1"/>
    <xf numFmtId="166" fontId="19" fillId="0" borderId="0" xfId="1" applyNumberFormat="1" applyFont="1" applyBorder="1"/>
    <xf numFmtId="0" fontId="17" fillId="0" borderId="1" xfId="0" applyFont="1" applyFill="1" applyBorder="1"/>
    <xf numFmtId="10" fontId="11" fillId="0" borderId="1" xfId="2" applyNumberFormat="1" applyFont="1" applyFill="1" applyBorder="1"/>
    <xf numFmtId="0" fontId="11" fillId="0" borderId="2" xfId="0" applyFont="1" applyBorder="1"/>
    <xf numFmtId="0" fontId="12" fillId="7" borderId="1" xfId="0" applyFont="1" applyFill="1" applyBorder="1" applyAlignment="1">
      <alignment horizontal="center"/>
    </xf>
    <xf numFmtId="0" fontId="3" fillId="6" borderId="1" xfId="0" applyFont="1" applyFill="1" applyBorder="1"/>
    <xf numFmtId="0" fontId="11" fillId="6" borderId="1" xfId="0" applyFont="1" applyFill="1" applyBorder="1"/>
    <xf numFmtId="0" fontId="11" fillId="6" borderId="2" xfId="0" applyFont="1" applyFill="1" applyBorder="1"/>
    <xf numFmtId="43" fontId="11" fillId="0" borderId="1" xfId="3" applyFont="1" applyFill="1" applyBorder="1"/>
    <xf numFmtId="0" fontId="12" fillId="7" borderId="1" xfId="0" applyFont="1" applyFill="1" applyBorder="1" applyAlignment="1">
      <alignment horizontal="center"/>
    </xf>
    <xf numFmtId="0" fontId="13" fillId="0" borderId="0" xfId="0" applyFont="1" applyAlignment="1">
      <alignment horizontal="center"/>
    </xf>
    <xf numFmtId="0" fontId="24" fillId="0" borderId="0" xfId="0" applyFont="1"/>
    <xf numFmtId="0" fontId="25" fillId="0" borderId="0" xfId="0" applyFont="1" applyBorder="1" applyAlignment="1">
      <alignment horizontal="left"/>
    </xf>
    <xf numFmtId="0" fontId="11" fillId="0" borderId="3" xfId="0" applyFont="1" applyFill="1" applyBorder="1"/>
    <xf numFmtId="43" fontId="12" fillId="7" borderId="1" xfId="3" applyFont="1" applyFill="1" applyBorder="1" applyAlignment="1">
      <alignment wrapText="1"/>
    </xf>
    <xf numFmtId="43" fontId="12" fillId="7" borderId="1" xfId="3" applyFont="1" applyFill="1" applyBorder="1"/>
    <xf numFmtId="43" fontId="11" fillId="17" borderId="1" xfId="3" applyFont="1" applyFill="1" applyBorder="1"/>
    <xf numFmtId="43" fontId="11" fillId="0" borderId="0" xfId="3" applyFont="1"/>
    <xf numFmtId="43" fontId="11" fillId="0" borderId="0" xfId="3" applyFont="1" applyAlignment="1">
      <alignment horizontal="center"/>
    </xf>
    <xf numFmtId="43" fontId="12" fillId="4" borderId="1" xfId="3" applyFont="1" applyFill="1" applyBorder="1" applyAlignment="1">
      <alignment wrapText="1"/>
    </xf>
    <xf numFmtId="43" fontId="12" fillId="4" borderId="1" xfId="3" applyFont="1" applyFill="1" applyBorder="1"/>
    <xf numFmtId="43" fontId="12" fillId="3" borderId="1" xfId="3" applyFont="1" applyFill="1" applyBorder="1" applyAlignment="1">
      <alignment wrapText="1"/>
    </xf>
    <xf numFmtId="43" fontId="12" fillId="3" borderId="1" xfId="3" applyFont="1" applyFill="1" applyBorder="1"/>
    <xf numFmtId="44" fontId="12" fillId="7" borderId="1" xfId="1" applyFont="1" applyFill="1" applyBorder="1" applyAlignment="1">
      <alignment wrapText="1"/>
    </xf>
    <xf numFmtId="44" fontId="12" fillId="7" borderId="1" xfId="1" applyFont="1" applyFill="1" applyBorder="1"/>
    <xf numFmtId="44" fontId="11" fillId="0" borderId="1" xfId="1" applyFont="1" applyFill="1" applyBorder="1"/>
    <xf numFmtId="44" fontId="11" fillId="17" borderId="1" xfId="1" applyFont="1" applyFill="1" applyBorder="1"/>
    <xf numFmtId="44" fontId="11" fillId="0" borderId="1" xfId="1" applyFont="1" applyBorder="1"/>
    <xf numFmtId="44" fontId="11" fillId="0" borderId="0" xfId="1" applyFont="1"/>
    <xf numFmtId="44" fontId="11" fillId="0" borderId="0" xfId="1" applyFont="1" applyAlignment="1">
      <alignment horizontal="center"/>
    </xf>
    <xf numFmtId="44" fontId="12" fillId="4" borderId="1" xfId="1" applyFont="1" applyFill="1" applyBorder="1" applyAlignment="1">
      <alignment wrapText="1"/>
    </xf>
    <xf numFmtId="44" fontId="12" fillId="4" borderId="1" xfId="1" applyFont="1" applyFill="1" applyBorder="1"/>
    <xf numFmtId="44" fontId="17" fillId="0" borderId="0" xfId="1" applyFont="1"/>
    <xf numFmtId="44" fontId="12" fillId="3" borderId="1" xfId="1" applyFont="1" applyFill="1" applyBorder="1" applyAlignment="1">
      <alignment wrapText="1"/>
    </xf>
    <xf numFmtId="44" fontId="12" fillId="3" borderId="1" xfId="1" applyFont="1" applyFill="1" applyBorder="1"/>
    <xf numFmtId="43" fontId="11" fillId="0" borderId="4" xfId="3" applyFont="1" applyFill="1" applyBorder="1"/>
    <xf numFmtId="0" fontId="0" fillId="0" borderId="0" xfId="0" applyBorder="1" applyAlignment="1">
      <alignment horizontal="center"/>
    </xf>
    <xf numFmtId="7" fontId="0" fillId="0" borderId="0" xfId="0" applyNumberFormat="1" applyBorder="1" applyAlignment="1">
      <alignment horizontal="center"/>
    </xf>
    <xf numFmtId="7" fontId="0" fillId="0" borderId="0" xfId="0" applyNumberFormat="1" applyBorder="1"/>
    <xf numFmtId="0" fontId="26" fillId="0" borderId="0" xfId="0" applyFont="1" applyFill="1" applyBorder="1" applyAlignment="1">
      <alignment horizontal="left"/>
    </xf>
    <xf numFmtId="166" fontId="11" fillId="0" borderId="0" xfId="1" applyNumberFormat="1" applyFont="1" applyBorder="1"/>
    <xf numFmtId="166" fontId="10" fillId="0" borderId="0" xfId="1" applyNumberFormat="1" applyFont="1" applyFill="1" applyBorder="1"/>
    <xf numFmtId="166" fontId="11" fillId="0" borderId="0" xfId="1" applyNumberFormat="1" applyFont="1" applyFill="1" applyBorder="1"/>
    <xf numFmtId="166" fontId="20" fillId="0" borderId="0" xfId="1" applyNumberFormat="1" applyFont="1" applyFill="1" applyBorder="1"/>
    <xf numFmtId="0" fontId="12" fillId="0" borderId="0" xfId="0" applyFont="1" applyFill="1" applyBorder="1" applyAlignment="1">
      <alignment horizontal="center"/>
    </xf>
    <xf numFmtId="166" fontId="19" fillId="0" borderId="0" xfId="1" applyNumberFormat="1" applyFont="1" applyFill="1" applyBorder="1"/>
    <xf numFmtId="0" fontId="11" fillId="0" borderId="0" xfId="0" applyFont="1" applyFill="1" applyBorder="1" applyAlignment="1">
      <alignment horizontal="center"/>
    </xf>
    <xf numFmtId="0" fontId="17" fillId="0" borderId="0" xfId="0" applyFont="1" applyAlignment="1">
      <alignment horizontal="center"/>
    </xf>
    <xf numFmtId="0" fontId="27" fillId="0" borderId="0" xfId="0" applyFont="1" applyAlignment="1">
      <alignment horizontal="center"/>
    </xf>
    <xf numFmtId="0" fontId="11"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37" fontId="3" fillId="0" borderId="1" xfId="0" applyNumberFormat="1" applyFont="1" applyBorder="1"/>
    <xf numFmtId="166" fontId="3" fillId="0" borderId="1" xfId="1" applyNumberFormat="1" applyFont="1" applyBorder="1"/>
    <xf numFmtId="0" fontId="17" fillId="0" borderId="2" xfId="0" applyFont="1" applyBorder="1"/>
    <xf numFmtId="164" fontId="11" fillId="0" borderId="0" xfId="0" applyNumberFormat="1" applyFont="1" applyBorder="1"/>
    <xf numFmtId="7" fontId="11" fillId="0" borderId="0" xfId="0" applyNumberFormat="1" applyFont="1" applyBorder="1"/>
    <xf numFmtId="37" fontId="3" fillId="7" borderId="1" xfId="0" applyNumberFormat="1" applyFont="1" applyFill="1" applyBorder="1"/>
    <xf numFmtId="166" fontId="3" fillId="7" borderId="1" xfId="1" applyNumberFormat="1" applyFont="1" applyFill="1" applyBorder="1"/>
    <xf numFmtId="37" fontId="11" fillId="0" borderId="0" xfId="0" applyNumberFormat="1" applyFont="1" applyFill="1"/>
    <xf numFmtId="164" fontId="11" fillId="0" borderId="0" xfId="0" applyNumberFormat="1" applyFont="1" applyFill="1"/>
    <xf numFmtId="37" fontId="3" fillId="0" borderId="1" xfId="0" applyNumberFormat="1" applyFont="1" applyFill="1" applyBorder="1"/>
    <xf numFmtId="166" fontId="3" fillId="0" borderId="1" xfId="1" applyNumberFormat="1" applyFont="1" applyFill="1" applyBorder="1"/>
    <xf numFmtId="164" fontId="11" fillId="0" borderId="0" xfId="0" applyNumberFormat="1" applyFont="1" applyFill="1" applyBorder="1"/>
    <xf numFmtId="37" fontId="3" fillId="3" borderId="1" xfId="0" applyNumberFormat="1" applyFont="1" applyFill="1" applyBorder="1" applyAlignment="1">
      <alignment horizontal="center"/>
    </xf>
    <xf numFmtId="164" fontId="3" fillId="3" borderId="1" xfId="0" applyNumberFormat="1" applyFont="1" applyFill="1" applyBorder="1" applyAlignment="1">
      <alignment horizontal="center"/>
    </xf>
    <xf numFmtId="164" fontId="3" fillId="7" borderId="1" xfId="0" applyNumberFormat="1" applyFont="1" applyFill="1" applyBorder="1" applyAlignment="1">
      <alignment horizontal="center"/>
    </xf>
    <xf numFmtId="37" fontId="3" fillId="7" borderId="1" xfId="0" applyNumberFormat="1" applyFont="1" applyFill="1" applyBorder="1" applyAlignment="1">
      <alignment horizontal="center"/>
    </xf>
    <xf numFmtId="164" fontId="3" fillId="7" borderId="1" xfId="0" applyNumberFormat="1" applyFont="1" applyFill="1" applyBorder="1" applyAlignment="1">
      <alignment horizontal="center" wrapText="1"/>
    </xf>
    <xf numFmtId="0" fontId="3" fillId="7" borderId="1" xfId="0" applyFont="1" applyFill="1" applyBorder="1" applyAlignment="1">
      <alignment horizontal="center" wrapText="1"/>
    </xf>
    <xf numFmtId="0" fontId="3" fillId="7" borderId="1" xfId="0" applyFont="1" applyFill="1" applyBorder="1" applyAlignment="1">
      <alignment horizontal="center"/>
    </xf>
    <xf numFmtId="37" fontId="11" fillId="0" borderId="0" xfId="0" applyNumberFormat="1" applyFont="1" applyFill="1" applyBorder="1"/>
    <xf numFmtId="7" fontId="11" fillId="0" borderId="0" xfId="0" applyNumberFormat="1" applyFont="1" applyFill="1" applyBorder="1"/>
    <xf numFmtId="164" fontId="3" fillId="15" borderId="1" xfId="0" applyNumberFormat="1" applyFont="1" applyFill="1" applyBorder="1" applyAlignment="1">
      <alignment horizontal="center"/>
    </xf>
    <xf numFmtId="164" fontId="3" fillId="3" borderId="14" xfId="0" applyNumberFormat="1" applyFont="1" applyFill="1" applyBorder="1" applyAlignment="1">
      <alignment horizontal="center"/>
    </xf>
    <xf numFmtId="37" fontId="11" fillId="12" borderId="1" xfId="0" applyNumberFormat="1" applyFont="1" applyFill="1" applyBorder="1"/>
    <xf numFmtId="37" fontId="0" fillId="12" borderId="1" xfId="0" applyNumberFormat="1" applyFill="1" applyBorder="1"/>
    <xf numFmtId="7" fontId="0" fillId="12" borderId="1" xfId="0" applyNumberFormat="1" applyFill="1" applyBorder="1"/>
    <xf numFmtId="44" fontId="17" fillId="0" borderId="1" xfId="1" applyFont="1" applyBorder="1"/>
    <xf numFmtId="168" fontId="11" fillId="0" borderId="1" xfId="3" applyNumberFormat="1" applyFont="1" applyFill="1" applyBorder="1"/>
    <xf numFmtId="44" fontId="8" fillId="0" borderId="0" xfId="1" applyFont="1"/>
    <xf numFmtId="0" fontId="12" fillId="7" borderId="1" xfId="0" applyFont="1" applyFill="1" applyBorder="1" applyAlignment="1">
      <alignment horizontal="center"/>
    </xf>
    <xf numFmtId="168" fontId="7" fillId="0" borderId="1" xfId="3" applyNumberFormat="1" applyFont="1" applyBorder="1"/>
    <xf numFmtId="168" fontId="13" fillId="0" borderId="1" xfId="3" applyNumberFormat="1" applyFont="1" applyBorder="1"/>
    <xf numFmtId="168" fontId="17" fillId="0" borderId="1" xfId="3" applyNumberFormat="1" applyFont="1" applyBorder="1"/>
    <xf numFmtId="43" fontId="17" fillId="0" borderId="1" xfId="3" applyFont="1" applyBorder="1"/>
    <xf numFmtId="168" fontId="17" fillId="0" borderId="1" xfId="3" applyNumberFormat="1" applyFont="1" applyFill="1" applyBorder="1"/>
    <xf numFmtId="43" fontId="17" fillId="0" borderId="1" xfId="3" applyFont="1" applyFill="1" applyBorder="1"/>
    <xf numFmtId="44" fontId="17" fillId="0" borderId="1" xfId="1" applyFont="1" applyFill="1" applyBorder="1"/>
    <xf numFmtId="37" fontId="3" fillId="18" borderId="1" xfId="0" applyNumberFormat="1" applyFont="1" applyFill="1" applyBorder="1"/>
    <xf numFmtId="166" fontId="11" fillId="18" borderId="1" xfId="1" applyNumberFormat="1" applyFont="1" applyFill="1" applyBorder="1"/>
    <xf numFmtId="37" fontId="11" fillId="18" borderId="1" xfId="0" applyNumberFormat="1" applyFont="1" applyFill="1" applyBorder="1"/>
    <xf numFmtId="166" fontId="3" fillId="18" borderId="1" xfId="1" applyNumberFormat="1" applyFont="1" applyFill="1" applyBorder="1"/>
    <xf numFmtId="1" fontId="11" fillId="18" borderId="1" xfId="0" applyNumberFormat="1" applyFont="1" applyFill="1" applyBorder="1"/>
    <xf numFmtId="0" fontId="11" fillId="0" borderId="1" xfId="0" applyNumberFormat="1" applyFont="1" applyBorder="1"/>
    <xf numFmtId="170" fontId="11" fillId="0" borderId="1" xfId="1" applyNumberFormat="1" applyFont="1" applyBorder="1"/>
    <xf numFmtId="0" fontId="12" fillId="0" borderId="1" xfId="0" applyFont="1" applyBorder="1" applyAlignment="1">
      <alignment horizontal="left"/>
    </xf>
    <xf numFmtId="0" fontId="12" fillId="7" borderId="1" xfId="0" applyFont="1" applyFill="1" applyBorder="1" applyAlignment="1">
      <alignment horizontal="center"/>
    </xf>
    <xf numFmtId="0" fontId="11" fillId="18" borderId="1" xfId="0" applyFont="1" applyFill="1" applyBorder="1"/>
    <xf numFmtId="0" fontId="16" fillId="18" borderId="1" xfId="0" applyFont="1" applyFill="1" applyBorder="1"/>
    <xf numFmtId="0" fontId="11" fillId="7" borderId="1" xfId="0" applyNumberFormat="1" applyFont="1" applyFill="1" applyBorder="1"/>
    <xf numFmtId="2" fontId="11" fillId="7" borderId="1" xfId="0" applyNumberFormat="1" applyFont="1" applyFill="1" applyBorder="1"/>
    <xf numFmtId="37" fontId="12" fillId="7" borderId="1" xfId="0" applyNumberFormat="1" applyFont="1" applyFill="1" applyBorder="1" applyAlignment="1">
      <alignment horizontal="center"/>
    </xf>
    <xf numFmtId="164" fontId="12" fillId="7" borderId="1" xfId="0" applyNumberFormat="1" applyFont="1" applyFill="1" applyBorder="1" applyAlignment="1">
      <alignment horizontal="center" wrapText="1"/>
    </xf>
    <xf numFmtId="0" fontId="12" fillId="7" borderId="1" xfId="0" applyFont="1" applyFill="1" applyBorder="1" applyAlignment="1">
      <alignment horizontal="center" wrapText="1"/>
    </xf>
    <xf numFmtId="0" fontId="17" fillId="0" borderId="0" xfId="0" applyFont="1" applyAlignment="1">
      <alignment horizontal="center"/>
    </xf>
    <xf numFmtId="0" fontId="11" fillId="0" borderId="0" xfId="0" applyFont="1" applyAlignment="1"/>
    <xf numFmtId="0" fontId="17" fillId="0" borderId="1" xfId="0" applyFont="1" applyFill="1" applyBorder="1" applyAlignment="1">
      <alignment wrapText="1"/>
    </xf>
    <xf numFmtId="0" fontId="12" fillId="0" borderId="1" xfId="0" applyFont="1" applyFill="1" applyBorder="1" applyAlignment="1">
      <alignment wrapText="1"/>
    </xf>
    <xf numFmtId="0" fontId="17" fillId="0" borderId="0" xfId="0" applyFont="1" applyFill="1" applyAlignment="1">
      <alignment wrapText="1"/>
    </xf>
    <xf numFmtId="0" fontId="30" fillId="0" borderId="1" xfId="0" applyFont="1" applyFill="1" applyBorder="1" applyAlignment="1">
      <alignment wrapText="1"/>
    </xf>
    <xf numFmtId="0" fontId="12" fillId="0" borderId="2" xfId="0" applyFont="1" applyBorder="1" applyAlignment="1"/>
    <xf numFmtId="0" fontId="12" fillId="0" borderId="0" xfId="0" applyFont="1" applyBorder="1" applyAlignment="1"/>
    <xf numFmtId="0" fontId="12" fillId="3" borderId="9" xfId="0" applyFont="1" applyFill="1" applyBorder="1" applyAlignment="1"/>
    <xf numFmtId="0" fontId="12" fillId="3" borderId="10" xfId="0" applyFont="1" applyFill="1" applyBorder="1" applyAlignment="1"/>
    <xf numFmtId="0" fontId="12" fillId="3" borderId="11" xfId="0" applyFont="1" applyFill="1" applyBorder="1" applyAlignment="1"/>
    <xf numFmtId="7" fontId="11" fillId="18" borderId="1" xfId="0" applyNumberFormat="1" applyFont="1" applyFill="1" applyBorder="1"/>
    <xf numFmtId="0" fontId="5" fillId="0" borderId="1" xfId="0" applyFont="1" applyFill="1" applyBorder="1" applyAlignment="1">
      <alignment horizontal="center"/>
    </xf>
    <xf numFmtId="39" fontId="11" fillId="0" borderId="1" xfId="0" applyNumberFormat="1" applyFont="1" applyFill="1" applyBorder="1"/>
    <xf numFmtId="44" fontId="11" fillId="0" borderId="1" xfId="0" applyNumberFormat="1" applyFont="1" applyFill="1" applyBorder="1"/>
    <xf numFmtId="0" fontId="27" fillId="0" borderId="0" xfId="0" applyFont="1"/>
    <xf numFmtId="0" fontId="3" fillId="3" borderId="11" xfId="0" applyFont="1" applyFill="1" applyBorder="1" applyAlignment="1">
      <alignment horizontal="center" vertical="center"/>
    </xf>
    <xf numFmtId="0" fontId="17" fillId="0" borderId="0" xfId="0" applyFont="1" applyAlignment="1">
      <alignment wrapText="1"/>
    </xf>
    <xf numFmtId="44" fontId="17" fillId="0" borderId="0" xfId="1" applyFont="1" applyAlignment="1">
      <alignment horizontal="center"/>
    </xf>
    <xf numFmtId="44" fontId="11" fillId="0" borderId="0" xfId="1" applyFont="1" applyFill="1"/>
    <xf numFmtId="44" fontId="8" fillId="0" borderId="0" xfId="1" applyFont="1" applyFill="1"/>
    <xf numFmtId="7" fontId="11" fillId="0" borderId="0" xfId="1" applyNumberFormat="1" applyFont="1"/>
    <xf numFmtId="166" fontId="11" fillId="0" borderId="0" xfId="0" applyNumberFormat="1" applyFont="1"/>
    <xf numFmtId="44" fontId="0" fillId="0" borderId="1" xfId="0" applyNumberFormat="1" applyBorder="1" applyAlignment="1">
      <alignment horizontal="center"/>
    </xf>
    <xf numFmtId="166" fontId="11" fillId="0" borderId="0" xfId="0" applyNumberFormat="1" applyFont="1" applyFill="1"/>
    <xf numFmtId="7" fontId="11" fillId="0" borderId="0" xfId="1" applyNumberFormat="1" applyFont="1" applyFill="1"/>
    <xf numFmtId="0" fontId="11" fillId="3" borderId="12" xfId="0" applyFont="1" applyFill="1" applyBorder="1" applyAlignment="1">
      <alignment horizontal="center"/>
    </xf>
    <xf numFmtId="0" fontId="11" fillId="3" borderId="3" xfId="0" applyFont="1" applyFill="1" applyBorder="1" applyAlignment="1">
      <alignment horizontal="center"/>
    </xf>
    <xf numFmtId="0" fontId="11" fillId="17" borderId="1" xfId="0" applyFont="1" applyFill="1" applyBorder="1"/>
    <xf numFmtId="0" fontId="3" fillId="3" borderId="11" xfId="0" applyFont="1" applyFill="1" applyBorder="1" applyAlignment="1">
      <alignment horizontal="center"/>
    </xf>
    <xf numFmtId="0" fontId="17" fillId="3" borderId="2" xfId="0" applyFont="1" applyFill="1" applyBorder="1" applyAlignment="1"/>
    <xf numFmtId="0" fontId="17" fillId="3" borderId="12" xfId="0" applyFont="1" applyFill="1" applyBorder="1" applyAlignment="1"/>
    <xf numFmtId="0" fontId="17" fillId="3" borderId="9" xfId="0" applyFont="1" applyFill="1" applyBorder="1" applyAlignment="1"/>
    <xf numFmtId="0" fontId="17" fillId="3" borderId="10" xfId="0" applyFont="1" applyFill="1" applyBorder="1" applyAlignment="1"/>
    <xf numFmtId="0" fontId="11" fillId="3" borderId="11" xfId="0" applyFont="1" applyFill="1" applyBorder="1" applyAlignment="1">
      <alignment horizontal="center"/>
    </xf>
    <xf numFmtId="0" fontId="3" fillId="3" borderId="10" xfId="0" applyFont="1" applyFill="1" applyBorder="1" applyAlignment="1">
      <alignment horizontal="center"/>
    </xf>
    <xf numFmtId="0" fontId="3" fillId="3" borderId="3" xfId="0" applyFont="1" applyFill="1" applyBorder="1" applyAlignment="1">
      <alignment horizont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11" fillId="3" borderId="10" xfId="0" applyFont="1" applyFill="1" applyBorder="1" applyAlignment="1">
      <alignment horizontal="center"/>
    </xf>
    <xf numFmtId="0" fontId="12" fillId="3" borderId="12" xfId="0" applyFont="1" applyFill="1" applyBorder="1" applyAlignment="1"/>
    <xf numFmtId="0" fontId="12" fillId="15" borderId="2" xfId="0" applyFont="1" applyFill="1" applyBorder="1" applyAlignment="1"/>
    <xf numFmtId="0" fontId="12" fillId="15" borderId="12" xfId="0" applyFont="1" applyFill="1" applyBorder="1" applyAlignment="1"/>
    <xf numFmtId="0" fontId="3" fillId="15" borderId="3" xfId="0" applyFont="1" applyFill="1" applyBorder="1" applyAlignment="1">
      <alignment horizontal="center"/>
    </xf>
    <xf numFmtId="7" fontId="8" fillId="0" borderId="0" xfId="0" applyNumberFormat="1" applyFont="1" applyBorder="1" applyAlignment="1">
      <alignment wrapText="1"/>
    </xf>
    <xf numFmtId="0" fontId="0" fillId="0" borderId="0" xfId="0" applyAlignment="1">
      <alignment wrapText="1"/>
    </xf>
    <xf numFmtId="0" fontId="8" fillId="0" borderId="0" xfId="0" applyFont="1" applyFill="1" applyAlignment="1">
      <alignment wrapText="1"/>
    </xf>
    <xf numFmtId="0" fontId="8" fillId="0" borderId="0" xfId="0" applyFont="1" applyAlignment="1">
      <alignment wrapText="1"/>
    </xf>
    <xf numFmtId="168" fontId="0" fillId="16" borderId="0" xfId="3" applyNumberFormat="1" applyFont="1" applyFill="1"/>
    <xf numFmtId="168" fontId="0" fillId="0" borderId="0" xfId="3" applyNumberFormat="1" applyFont="1"/>
    <xf numFmtId="168" fontId="0" fillId="0" borderId="0" xfId="3" applyNumberFormat="1" applyFont="1" applyAlignment="1"/>
    <xf numFmtId="0" fontId="0" fillId="16" borderId="0" xfId="0" applyFill="1" applyAlignment="1">
      <alignment wrapText="1"/>
    </xf>
    <xf numFmtId="20" fontId="0" fillId="16" borderId="0" xfId="0" applyNumberFormat="1" applyFill="1" applyAlignment="1">
      <alignment wrapText="1"/>
    </xf>
    <xf numFmtId="0" fontId="13" fillId="0" borderId="10" xfId="0" applyFont="1" applyBorder="1" applyAlignment="1">
      <alignment horizontal="center" wrapText="1"/>
    </xf>
    <xf numFmtId="0" fontId="13" fillId="0" borderId="10" xfId="0" applyFont="1" applyBorder="1" applyAlignment="1">
      <alignment horizontal="center"/>
    </xf>
    <xf numFmtId="168" fontId="13" fillId="0" borderId="10" xfId="3" applyNumberFormat="1" applyFont="1" applyBorder="1" applyAlignment="1">
      <alignment horizontal="center"/>
    </xf>
    <xf numFmtId="44" fontId="32" fillId="0" borderId="1" xfId="1" applyFont="1" applyFill="1" applyBorder="1"/>
    <xf numFmtId="0" fontId="33" fillId="0" borderId="1" xfId="0" applyFont="1" applyFill="1" applyBorder="1" applyAlignment="1">
      <alignment horizontal="left"/>
    </xf>
    <xf numFmtId="44" fontId="33" fillId="0" borderId="1" xfId="1" applyFont="1" applyFill="1" applyBorder="1"/>
    <xf numFmtId="37" fontId="34" fillId="0" borderId="1" xfId="0" applyNumberFormat="1" applyFont="1" applyBorder="1"/>
    <xf numFmtId="0" fontId="12" fillId="5" borderId="1" xfId="0" applyFont="1" applyFill="1" applyBorder="1" applyAlignment="1">
      <alignment horizontal="center"/>
    </xf>
    <xf numFmtId="1" fontId="17" fillId="0" borderId="0" xfId="0" applyNumberFormat="1" applyFont="1"/>
    <xf numFmtId="168" fontId="11" fillId="0" borderId="0" xfId="3" applyNumberFormat="1" applyFont="1"/>
    <xf numFmtId="37" fontId="17" fillId="0" borderId="0" xfId="0" applyNumberFormat="1" applyFont="1"/>
    <xf numFmtId="0" fontId="11" fillId="14" borderId="1" xfId="0" applyFont="1" applyFill="1" applyBorder="1" applyAlignment="1">
      <alignment horizontal="left"/>
    </xf>
    <xf numFmtId="44" fontId="11" fillId="14" borderId="1" xfId="1" applyFont="1" applyFill="1" applyBorder="1"/>
    <xf numFmtId="0" fontId="12" fillId="7" borderId="1" xfId="0" applyFont="1" applyFill="1" applyBorder="1" applyAlignment="1">
      <alignment horizontal="center"/>
    </xf>
    <xf numFmtId="0" fontId="11" fillId="3" borderId="1" xfId="0" applyFont="1" applyFill="1" applyBorder="1" applyAlignment="1">
      <alignment horizontal="center"/>
    </xf>
    <xf numFmtId="0" fontId="11" fillId="3" borderId="3" xfId="0" applyFont="1" applyFill="1" applyBorder="1" applyAlignment="1">
      <alignment horizontal="center"/>
    </xf>
    <xf numFmtId="0" fontId="12" fillId="5" borderId="10" xfId="0" applyFont="1" applyFill="1" applyBorder="1" applyAlignment="1"/>
    <xf numFmtId="0" fontId="3" fillId="5" borderId="11" xfId="0" applyFont="1" applyFill="1" applyBorder="1" applyAlignment="1">
      <alignment horizontal="center"/>
    </xf>
    <xf numFmtId="164" fontId="3" fillId="5" borderId="1" xfId="0" applyNumberFormat="1" applyFont="1" applyFill="1" applyBorder="1" applyAlignment="1">
      <alignment horizontal="center"/>
    </xf>
    <xf numFmtId="165" fontId="11" fillId="0" borderId="0" xfId="0" applyNumberFormat="1" applyFont="1"/>
    <xf numFmtId="1" fontId="11" fillId="0" borderId="0" xfId="0" applyNumberFormat="1" applyFont="1"/>
    <xf numFmtId="0" fontId="35" fillId="0" borderId="0" xfId="0" applyFont="1"/>
    <xf numFmtId="0" fontId="12" fillId="5" borderId="11" xfId="0" applyFont="1" applyFill="1" applyBorder="1" applyAlignment="1"/>
    <xf numFmtId="0" fontId="11" fillId="17" borderId="3" xfId="0" applyFont="1" applyFill="1" applyBorder="1"/>
    <xf numFmtId="0" fontId="17" fillId="5" borderId="1" xfId="0" applyFont="1" applyFill="1" applyBorder="1"/>
    <xf numFmtId="37" fontId="12" fillId="5" borderId="1" xfId="0" applyNumberFormat="1" applyFont="1" applyFill="1" applyBorder="1" applyAlignment="1">
      <alignment horizontal="center"/>
    </xf>
    <xf numFmtId="164" fontId="12" fillId="5" borderId="1" xfId="0" applyNumberFormat="1" applyFont="1" applyFill="1" applyBorder="1" applyAlignment="1">
      <alignment horizontal="center" wrapText="1"/>
    </xf>
    <xf numFmtId="0" fontId="12" fillId="5" borderId="1" xfId="0" applyFont="1" applyFill="1" applyBorder="1" applyAlignment="1">
      <alignment horizontal="center" wrapText="1"/>
    </xf>
    <xf numFmtId="37" fontId="11" fillId="5" borderId="1" xfId="0" applyNumberFormat="1" applyFont="1" applyFill="1" applyBorder="1"/>
    <xf numFmtId="0" fontId="10" fillId="5" borderId="1" xfId="0" applyFont="1" applyFill="1" applyBorder="1" applyAlignment="1"/>
    <xf numFmtId="37" fontId="3" fillId="5" borderId="1" xfId="0" applyNumberFormat="1" applyFont="1" applyFill="1" applyBorder="1"/>
    <xf numFmtId="164" fontId="11" fillId="5" borderId="1" xfId="0" applyNumberFormat="1" applyFont="1" applyFill="1" applyBorder="1"/>
    <xf numFmtId="7" fontId="11" fillId="5" borderId="1" xfId="0" applyNumberFormat="1" applyFont="1" applyFill="1" applyBorder="1"/>
    <xf numFmtId="166" fontId="3" fillId="5" borderId="1" xfId="1" applyNumberFormat="1" applyFont="1" applyFill="1" applyBorder="1"/>
    <xf numFmtId="10" fontId="11" fillId="5" borderId="1" xfId="2" applyNumberFormat="1" applyFont="1" applyFill="1" applyBorder="1"/>
    <xf numFmtId="0" fontId="10" fillId="5" borderId="1" xfId="0" applyFont="1" applyFill="1" applyBorder="1"/>
    <xf numFmtId="166" fontId="11" fillId="5" borderId="1" xfId="1" applyNumberFormat="1" applyFont="1" applyFill="1" applyBorder="1"/>
    <xf numFmtId="9" fontId="11" fillId="0" borderId="0" xfId="0" applyNumberFormat="1" applyFont="1"/>
    <xf numFmtId="0" fontId="11" fillId="0" borderId="12" xfId="0" applyFont="1" applyBorder="1"/>
    <xf numFmtId="0" fontId="17" fillId="0" borderId="12" xfId="0" applyFont="1" applyBorder="1"/>
    <xf numFmtId="0" fontId="12" fillId="3" borderId="2" xfId="0" applyFont="1" applyFill="1" applyBorder="1" applyAlignment="1"/>
    <xf numFmtId="0" fontId="17" fillId="16" borderId="0" xfId="0" applyFont="1" applyFill="1" applyAlignment="1">
      <alignment wrapText="1"/>
    </xf>
    <xf numFmtId="44" fontId="32" fillId="17" borderId="1" xfId="1" applyFont="1" applyFill="1" applyBorder="1"/>
    <xf numFmtId="44" fontId="33" fillId="17" borderId="1" xfId="1" applyFont="1" applyFill="1" applyBorder="1"/>
    <xf numFmtId="0" fontId="11" fillId="0" borderId="2" xfId="0" applyFont="1" applyFill="1" applyBorder="1"/>
    <xf numFmtId="44" fontId="11" fillId="0" borderId="2" xfId="1" applyFont="1" applyFill="1" applyBorder="1"/>
    <xf numFmtId="44" fontId="11" fillId="14" borderId="2" xfId="1" applyFont="1" applyFill="1" applyBorder="1"/>
    <xf numFmtId="44" fontId="33" fillId="0" borderId="2" xfId="1" applyFont="1" applyFill="1" applyBorder="1"/>
    <xf numFmtId="44" fontId="11" fillId="0" borderId="3" xfId="1" applyFont="1" applyFill="1" applyBorder="1"/>
    <xf numFmtId="44" fontId="11" fillId="14" borderId="3" xfId="1" applyFont="1" applyFill="1" applyBorder="1"/>
    <xf numFmtId="44" fontId="33" fillId="0" borderId="3" xfId="1" applyFont="1" applyFill="1" applyBorder="1"/>
    <xf numFmtId="0" fontId="17" fillId="0" borderId="23" xfId="0" applyFont="1" applyFill="1" applyBorder="1" applyAlignment="1">
      <alignment wrapText="1"/>
    </xf>
    <xf numFmtId="0" fontId="11" fillId="0" borderId="22" xfId="0" applyFont="1" applyFill="1" applyBorder="1"/>
    <xf numFmtId="44" fontId="11" fillId="0" borderId="22" xfId="1" applyFont="1" applyFill="1" applyBorder="1"/>
    <xf numFmtId="44" fontId="11" fillId="14" borderId="22" xfId="1" applyFont="1" applyFill="1" applyBorder="1"/>
    <xf numFmtId="44" fontId="33" fillId="0" borderId="22" xfId="1" applyFont="1" applyFill="1" applyBorder="1"/>
    <xf numFmtId="44" fontId="33" fillId="0" borderId="24" xfId="1" applyFont="1" applyFill="1" applyBorder="1"/>
    <xf numFmtId="0" fontId="11" fillId="17" borderId="23" xfId="0" applyFont="1" applyFill="1" applyBorder="1"/>
    <xf numFmtId="44" fontId="11" fillId="17" borderId="23" xfId="1" applyFont="1" applyFill="1" applyBorder="1"/>
    <xf numFmtId="44" fontId="29" fillId="17" borderId="1" xfId="1" applyFont="1" applyFill="1" applyBorder="1"/>
    <xf numFmtId="44" fontId="29" fillId="17" borderId="23" xfId="1" applyFont="1" applyFill="1" applyBorder="1"/>
    <xf numFmtId="44" fontId="37" fillId="17" borderId="1" xfId="1" applyFont="1" applyFill="1" applyBorder="1"/>
    <xf numFmtId="44" fontId="37" fillId="17" borderId="23" xfId="1" applyFont="1" applyFill="1" applyBorder="1"/>
    <xf numFmtId="44" fontId="37" fillId="17" borderId="25" xfId="1" applyFont="1" applyFill="1" applyBorder="1"/>
    <xf numFmtId="44" fontId="37" fillId="17" borderId="26" xfId="1" applyFont="1" applyFill="1" applyBorder="1"/>
    <xf numFmtId="164" fontId="31" fillId="0" borderId="0" xfId="0" applyNumberFormat="1" applyFont="1" applyBorder="1"/>
    <xf numFmtId="44" fontId="11" fillId="0" borderId="1" xfId="0" applyNumberFormat="1" applyFont="1" applyBorder="1"/>
    <xf numFmtId="37" fontId="8" fillId="0" borderId="0" xfId="0" applyNumberFormat="1" applyFont="1" applyBorder="1"/>
    <xf numFmtId="0" fontId="31" fillId="0" borderId="0" xfId="0" applyFont="1" applyFill="1" applyBorder="1" applyAlignment="1">
      <alignment horizontal="center" vertical="center" wrapText="1"/>
    </xf>
    <xf numFmtId="0" fontId="12" fillId="0" borderId="10" xfId="0" applyFont="1" applyFill="1" applyBorder="1" applyAlignment="1"/>
    <xf numFmtId="0" fontId="3" fillId="0" borderId="11" xfId="0" applyFont="1" applyFill="1" applyBorder="1" applyAlignment="1">
      <alignment horizontal="center"/>
    </xf>
    <xf numFmtId="164" fontId="3" fillId="0" borderId="1" xfId="0" applyNumberFormat="1" applyFont="1" applyFill="1" applyBorder="1" applyAlignment="1">
      <alignment horizontal="center"/>
    </xf>
    <xf numFmtId="0" fontId="11" fillId="0" borderId="2" xfId="0" applyFont="1" applyFill="1" applyBorder="1" applyAlignment="1">
      <alignment horizontal="center"/>
    </xf>
    <xf numFmtId="0" fontId="11" fillId="0" borderId="12" xfId="0" applyFont="1" applyFill="1" applyBorder="1" applyAlignment="1">
      <alignment horizontal="center"/>
    </xf>
    <xf numFmtId="0" fontId="11" fillId="0" borderId="3" xfId="0" applyFont="1" applyFill="1" applyBorder="1" applyAlignment="1">
      <alignment horizontal="center"/>
    </xf>
    <xf numFmtId="37" fontId="12" fillId="0" borderId="1" xfId="0" applyNumberFormat="1" applyFont="1" applyFill="1" applyBorder="1" applyAlignment="1">
      <alignment horizontal="center"/>
    </xf>
    <xf numFmtId="164" fontId="12"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170" fontId="3" fillId="0" borderId="1" xfId="0" applyNumberFormat="1" applyFont="1" applyFill="1" applyBorder="1"/>
    <xf numFmtId="170" fontId="11" fillId="0" borderId="1" xfId="0" applyNumberFormat="1" applyFont="1" applyBorder="1"/>
    <xf numFmtId="170" fontId="3" fillId="18" borderId="1" xfId="0" applyNumberFormat="1" applyFont="1" applyFill="1" applyBorder="1"/>
    <xf numFmtId="0" fontId="17" fillId="7" borderId="10" xfId="0" applyFont="1" applyFill="1" applyBorder="1" applyAlignment="1"/>
    <xf numFmtId="0" fontId="11" fillId="7" borderId="10" xfId="0" applyFont="1" applyFill="1" applyBorder="1" applyAlignment="1">
      <alignment horizontal="center"/>
    </xf>
    <xf numFmtId="0" fontId="11" fillId="7" borderId="11" xfId="0" applyFont="1" applyFill="1" applyBorder="1" applyAlignment="1">
      <alignment horizontal="center"/>
    </xf>
    <xf numFmtId="37" fontId="34" fillId="7" borderId="1" xfId="0" applyNumberFormat="1" applyFont="1" applyFill="1" applyBorder="1"/>
    <xf numFmtId="164" fontId="34" fillId="7" borderId="1" xfId="0" applyNumberFormat="1" applyFont="1" applyFill="1" applyBorder="1"/>
    <xf numFmtId="7" fontId="11" fillId="0" borderId="1" xfId="1" applyNumberFormat="1" applyFont="1" applyFill="1" applyBorder="1"/>
    <xf numFmtId="0" fontId="11" fillId="0" borderId="13" xfId="0" applyFont="1" applyFill="1" applyBorder="1" applyAlignment="1">
      <alignment horizontal="center" vertical="center" wrapText="1"/>
    </xf>
    <xf numFmtId="164" fontId="2" fillId="3" borderId="1" xfId="0" applyNumberFormat="1" applyFont="1" applyFill="1" applyBorder="1" applyAlignment="1">
      <alignment horizontal="center"/>
    </xf>
    <xf numFmtId="0" fontId="0" fillId="0" borderId="0" xfId="0" applyFill="1" applyBorder="1"/>
    <xf numFmtId="0" fontId="11" fillId="0" borderId="0" xfId="0" applyFont="1" applyFill="1" applyBorder="1" applyAlignment="1">
      <alignment horizontal="center"/>
    </xf>
    <xf numFmtId="0" fontId="11" fillId="0" borderId="0" xfId="0" applyFont="1"/>
    <xf numFmtId="0" fontId="0" fillId="0" borderId="0" xfId="0" applyAlignment="1">
      <alignment horizontal="center" vertical="center"/>
    </xf>
    <xf numFmtId="168" fontId="0" fillId="0" borderId="0" xfId="0" applyNumberFormat="1" applyFill="1" applyBorder="1"/>
    <xf numFmtId="0" fontId="11" fillId="0" borderId="0" xfId="0" applyFont="1" applyFill="1" applyBorder="1" applyAlignment="1">
      <alignment horizontal="center" vertical="top" wrapText="1"/>
    </xf>
    <xf numFmtId="9" fontId="11" fillId="0" borderId="0" xfId="2" applyFont="1"/>
    <xf numFmtId="10" fontId="0" fillId="0" borderId="0" xfId="2" applyNumberFormat="1" applyFont="1" applyFill="1" applyBorder="1"/>
    <xf numFmtId="10" fontId="11" fillId="0" borderId="0" xfId="2" applyNumberFormat="1" applyFont="1"/>
    <xf numFmtId="10" fontId="11" fillId="0" borderId="0" xfId="0" applyNumberFormat="1" applyFont="1"/>
    <xf numFmtId="0" fontId="13" fillId="19" borderId="0" xfId="0" applyFont="1" applyFill="1" applyBorder="1"/>
    <xf numFmtId="0" fontId="38" fillId="19" borderId="0" xfId="0" applyFont="1" applyFill="1" applyBorder="1"/>
    <xf numFmtId="0" fontId="11" fillId="19" borderId="0" xfId="0" applyFont="1" applyFill="1"/>
    <xf numFmtId="168" fontId="17" fillId="0" borderId="0" xfId="0" applyNumberFormat="1" applyFont="1"/>
    <xf numFmtId="168" fontId="0" fillId="0" borderId="10" xfId="0" applyNumberFormat="1" applyFill="1" applyBorder="1"/>
    <xf numFmtId="37" fontId="27" fillId="0" borderId="0" xfId="0" applyNumberFormat="1" applyFont="1" applyAlignment="1">
      <alignment horizontal="right"/>
    </xf>
    <xf numFmtId="2" fontId="11" fillId="0" borderId="0" xfId="0" applyNumberFormat="1" applyFont="1"/>
    <xf numFmtId="0" fontId="37" fillId="0" borderId="0" xfId="0" applyFont="1" applyAlignment="1">
      <alignment horizontal="center"/>
    </xf>
    <xf numFmtId="44" fontId="37" fillId="14" borderId="1" xfId="1" applyFont="1" applyFill="1" applyBorder="1"/>
    <xf numFmtId="0" fontId="37" fillId="0" borderId="0" xfId="0" applyFont="1" applyBorder="1" applyAlignment="1">
      <alignment horizontal="center"/>
    </xf>
    <xf numFmtId="0" fontId="11" fillId="0" borderId="0" xfId="0" applyFont="1" applyBorder="1"/>
    <xf numFmtId="2" fontId="11" fillId="0" borderId="0" xfId="0" applyNumberFormat="1" applyFont="1" applyBorder="1"/>
    <xf numFmtId="0" fontId="17" fillId="0" borderId="0" xfId="0" applyFont="1" applyBorder="1" applyAlignment="1"/>
    <xf numFmtId="0" fontId="17" fillId="0" borderId="2" xfId="0" applyFont="1" applyBorder="1" applyAlignment="1">
      <alignment horizontal="center"/>
    </xf>
    <xf numFmtId="0" fontId="12" fillId="4" borderId="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3" xfId="0" applyFont="1" applyFill="1" applyBorder="1" applyAlignment="1">
      <alignment horizontal="center" vertical="center"/>
    </xf>
    <xf numFmtId="0" fontId="16" fillId="0" borderId="1" xfId="0" applyFont="1" applyFill="1" applyBorder="1" applyAlignment="1">
      <alignment horizontal="center" vertical="center"/>
    </xf>
    <xf numFmtId="0" fontId="11" fillId="0" borderId="2" xfId="0" applyFont="1" applyFill="1" applyBorder="1" applyAlignment="1">
      <alignment horizontal="center" vertical="center"/>
    </xf>
    <xf numFmtId="0" fontId="2" fillId="0" borderId="2" xfId="0" applyFont="1" applyFill="1" applyBorder="1" applyAlignment="1">
      <alignment horizontal="center" vertical="center"/>
    </xf>
    <xf numFmtId="0" fontId="12" fillId="4"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0" xfId="0" applyAlignment="1">
      <alignment horizontal="center" vertical="center" wrapText="1"/>
    </xf>
    <xf numFmtId="0" fontId="11" fillId="0" borderId="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39" fillId="0" borderId="0" xfId="0" applyFont="1"/>
    <xf numFmtId="0" fontId="11" fillId="3" borderId="3" xfId="0" applyFont="1" applyFill="1" applyBorder="1" applyAlignment="1">
      <alignment horizontal="center"/>
    </xf>
    <xf numFmtId="0" fontId="41" fillId="0" borderId="0" xfId="0" applyFont="1"/>
    <xf numFmtId="164" fontId="42" fillId="0" borderId="1" xfId="0" applyNumberFormat="1" applyFont="1" applyFill="1" applyBorder="1" applyAlignment="1">
      <alignment horizontal="center"/>
    </xf>
    <xf numFmtId="0" fontId="41" fillId="0" borderId="2" xfId="0" applyFont="1" applyFill="1" applyBorder="1" applyAlignment="1"/>
    <xf numFmtId="164" fontId="43" fillId="0" borderId="1" xfId="0" applyNumberFormat="1" applyFont="1" applyFill="1" applyBorder="1" applyAlignment="1">
      <alignment horizontal="center" wrapText="1"/>
    </xf>
    <xf numFmtId="0" fontId="43" fillId="0" borderId="1" xfId="0" applyFont="1" applyFill="1" applyBorder="1" applyAlignment="1">
      <alignment horizontal="center" wrapText="1"/>
    </xf>
    <xf numFmtId="164" fontId="41" fillId="0" borderId="1" xfId="0" applyNumberFormat="1" applyFont="1" applyBorder="1"/>
    <xf numFmtId="37" fontId="42" fillId="18" borderId="1" xfId="0" applyNumberFormat="1" applyFont="1" applyFill="1" applyBorder="1"/>
    <xf numFmtId="37" fontId="41" fillId="0" borderId="1" xfId="0" applyNumberFormat="1" applyFont="1" applyBorder="1"/>
    <xf numFmtId="164" fontId="41" fillId="0" borderId="0" xfId="0" applyNumberFormat="1" applyFont="1"/>
    <xf numFmtId="164" fontId="41" fillId="0" borderId="1" xfId="0" applyNumberFormat="1" applyFont="1" applyFill="1" applyBorder="1"/>
    <xf numFmtId="0" fontId="40" fillId="0" borderId="0" xfId="0" applyFont="1" applyAlignment="1">
      <alignment horizontal="center"/>
    </xf>
    <xf numFmtId="43" fontId="41" fillId="0" borderId="0" xfId="3" applyFont="1"/>
    <xf numFmtId="0" fontId="40" fillId="0" borderId="0" xfId="0" applyFont="1" applyFill="1" applyAlignment="1">
      <alignment horizontal="center"/>
    </xf>
    <xf numFmtId="43" fontId="41" fillId="0" borderId="0" xfId="3" applyFont="1" applyFill="1"/>
    <xf numFmtId="0" fontId="40" fillId="7" borderId="0" xfId="0" applyFont="1" applyFill="1" applyBorder="1"/>
    <xf numFmtId="0" fontId="44" fillId="7" borderId="0" xfId="0" applyFont="1" applyFill="1" applyBorder="1"/>
    <xf numFmtId="0" fontId="41" fillId="7" borderId="0" xfId="0" applyFont="1" applyFill="1"/>
    <xf numFmtId="168" fontId="41" fillId="0" borderId="0" xfId="0" applyNumberFormat="1" applyFont="1" applyFill="1" applyBorder="1"/>
    <xf numFmtId="10" fontId="41" fillId="0" borderId="0" xfId="2" applyNumberFormat="1" applyFont="1" applyFill="1" applyBorder="1"/>
    <xf numFmtId="10" fontId="41" fillId="0" borderId="0" xfId="0" applyNumberFormat="1" applyFont="1"/>
    <xf numFmtId="37" fontId="41" fillId="0" borderId="0" xfId="0" applyNumberFormat="1" applyFont="1"/>
    <xf numFmtId="10" fontId="41" fillId="0" borderId="0" xfId="2" applyNumberFormat="1" applyFont="1"/>
    <xf numFmtId="168" fontId="41" fillId="0" borderId="10" xfId="0" applyNumberFormat="1" applyFont="1" applyFill="1" applyBorder="1"/>
    <xf numFmtId="168" fontId="40" fillId="0" borderId="0" xfId="0" applyNumberFormat="1" applyFont="1"/>
    <xf numFmtId="171" fontId="11" fillId="0" borderId="0" xfId="3" applyNumberFormat="1" applyFont="1"/>
    <xf numFmtId="0" fontId="43" fillId="0" borderId="1" xfId="0" applyFont="1" applyFill="1" applyBorder="1" applyAlignment="1">
      <alignment horizontal="center"/>
    </xf>
    <xf numFmtId="170" fontId="42" fillId="0" borderId="1" xfId="0" applyNumberFormat="1" applyFont="1" applyFill="1" applyBorder="1"/>
    <xf numFmtId="170" fontId="42" fillId="18" borderId="1" xfId="0" applyNumberFormat="1" applyFont="1" applyFill="1" applyBorder="1"/>
    <xf numFmtId="170" fontId="41" fillId="0" borderId="1" xfId="0" applyNumberFormat="1" applyFont="1" applyBorder="1"/>
    <xf numFmtId="0" fontId="45" fillId="0" borderId="11" xfId="0" applyNumberFormat="1" applyFont="1" applyBorder="1" applyAlignment="1">
      <alignment horizontal="left" vertical="top"/>
    </xf>
    <xf numFmtId="0" fontId="45" fillId="0" borderId="14" xfId="0" applyNumberFormat="1" applyFont="1" applyBorder="1" applyAlignment="1">
      <alignment horizontal="left" vertical="top"/>
    </xf>
    <xf numFmtId="0" fontId="45" fillId="0" borderId="9" xfId="0" applyNumberFormat="1" applyFont="1" applyBorder="1" applyAlignment="1">
      <alignment horizontal="left" vertical="top" wrapText="1"/>
    </xf>
    <xf numFmtId="0" fontId="45" fillId="0" borderId="9" xfId="3" applyNumberFormat="1" applyFont="1" applyBorder="1" applyAlignment="1">
      <alignment horizontal="left" vertical="top"/>
    </xf>
    <xf numFmtId="0" fontId="45" fillId="0" borderId="10" xfId="0" applyNumberFormat="1" applyFont="1" applyBorder="1" applyAlignment="1">
      <alignment horizontal="left" vertical="top" wrapText="1"/>
    </xf>
    <xf numFmtId="0" fontId="45" fillId="21" borderId="10" xfId="0" applyNumberFormat="1" applyFont="1" applyFill="1" applyBorder="1" applyAlignment="1">
      <alignment horizontal="left" vertical="top" wrapText="1"/>
    </xf>
    <xf numFmtId="0" fontId="45" fillId="0" borderId="10" xfId="0" applyNumberFormat="1" applyFont="1" applyBorder="1" applyAlignment="1">
      <alignment horizontal="left" vertical="top"/>
    </xf>
    <xf numFmtId="0" fontId="45" fillId="0" borderId="0" xfId="0" applyNumberFormat="1" applyFont="1" applyAlignment="1">
      <alignment horizontal="left" vertical="top"/>
    </xf>
    <xf numFmtId="0" fontId="46" fillId="0" borderId="1" xfId="0" applyNumberFormat="1" applyFont="1" applyFill="1" applyBorder="1" applyAlignment="1">
      <alignment horizontal="left" vertical="top"/>
    </xf>
    <xf numFmtId="0" fontId="27" fillId="0" borderId="1" xfId="0" applyNumberFormat="1" applyFont="1" applyFill="1" applyBorder="1" applyAlignment="1">
      <alignment horizontal="left" vertical="top"/>
    </xf>
    <xf numFmtId="3" fontId="27" fillId="0" borderId="2" xfId="0" applyNumberFormat="1" applyFont="1" applyFill="1" applyBorder="1" applyAlignment="1">
      <alignment horizontal="left" vertical="top"/>
    </xf>
    <xf numFmtId="170" fontId="27" fillId="0" borderId="2" xfId="3" applyNumberFormat="1" applyFont="1" applyFill="1" applyBorder="1" applyAlignment="1">
      <alignment horizontal="left" vertical="top"/>
    </xf>
    <xf numFmtId="0" fontId="27" fillId="0" borderId="14" xfId="0" applyNumberFormat="1" applyFont="1" applyFill="1" applyBorder="1" applyAlignment="1">
      <alignment horizontal="left" vertical="top"/>
    </xf>
    <xf numFmtId="170" fontId="27" fillId="0" borderId="0" xfId="0" applyNumberFormat="1" applyFont="1" applyFill="1" applyAlignment="1">
      <alignment horizontal="left" vertical="top"/>
    </xf>
    <xf numFmtId="44" fontId="27" fillId="0" borderId="0" xfId="1" applyFont="1" applyFill="1" applyAlignment="1">
      <alignment horizontal="center" vertical="top"/>
    </xf>
    <xf numFmtId="0" fontId="27" fillId="0" borderId="2" xfId="0" applyNumberFormat="1" applyFont="1" applyFill="1" applyBorder="1" applyAlignment="1">
      <alignment horizontal="left" vertical="top"/>
    </xf>
    <xf numFmtId="8" fontId="27" fillId="0" borderId="1" xfId="0" applyNumberFormat="1" applyFont="1" applyFill="1" applyBorder="1" applyAlignment="1">
      <alignment horizontal="left" vertical="top"/>
    </xf>
    <xf numFmtId="0" fontId="45" fillId="0" borderId="0" xfId="0" applyNumberFormat="1" applyFont="1" applyFill="1" applyAlignment="1">
      <alignment horizontal="left" vertical="top"/>
    </xf>
    <xf numFmtId="0" fontId="27" fillId="0" borderId="3" xfId="0" applyNumberFormat="1" applyFont="1" applyFill="1" applyBorder="1" applyAlignment="1">
      <alignment horizontal="left" vertical="top"/>
    </xf>
    <xf numFmtId="0" fontId="28" fillId="22" borderId="1" xfId="0" applyNumberFormat="1" applyFont="1" applyFill="1" applyBorder="1" applyAlignment="1">
      <alignment horizontal="left" vertical="top"/>
    </xf>
    <xf numFmtId="0" fontId="47" fillId="22" borderId="1" xfId="0" applyNumberFormat="1" applyFont="1" applyFill="1" applyBorder="1" applyAlignment="1">
      <alignment horizontal="left" vertical="top"/>
    </xf>
    <xf numFmtId="0" fontId="27" fillId="0" borderId="2" xfId="3" applyNumberFormat="1" applyFont="1" applyFill="1" applyBorder="1" applyAlignment="1">
      <alignment horizontal="left" vertical="top"/>
    </xf>
    <xf numFmtId="0" fontId="27" fillId="22" borderId="1" xfId="0" applyNumberFormat="1" applyFont="1" applyFill="1" applyBorder="1" applyAlignment="1">
      <alignment horizontal="left" vertical="top"/>
    </xf>
    <xf numFmtId="0" fontId="28" fillId="23" borderId="1" xfId="0" applyNumberFormat="1" applyFont="1" applyFill="1" applyBorder="1" applyAlignment="1">
      <alignment horizontal="left" vertical="top"/>
    </xf>
    <xf numFmtId="0" fontId="27" fillId="0" borderId="27" xfId="0" applyNumberFormat="1" applyFont="1" applyBorder="1" applyAlignment="1">
      <alignment horizontal="left" vertical="top"/>
    </xf>
    <xf numFmtId="0" fontId="48" fillId="0" borderId="1" xfId="0" applyNumberFormat="1" applyFont="1" applyFill="1" applyBorder="1" applyAlignment="1">
      <alignment horizontal="left" vertical="top"/>
    </xf>
    <xf numFmtId="0" fontId="27" fillId="0" borderId="12" xfId="0" applyNumberFormat="1" applyFont="1" applyFill="1" applyBorder="1" applyAlignment="1">
      <alignment horizontal="left" vertical="top"/>
    </xf>
    <xf numFmtId="0" fontId="49" fillId="0" borderId="0" xfId="0" applyNumberFormat="1" applyFont="1" applyAlignment="1">
      <alignment horizontal="left" vertical="top"/>
    </xf>
    <xf numFmtId="0" fontId="27" fillId="0" borderId="0" xfId="0" applyNumberFormat="1" applyFont="1" applyFill="1" applyAlignment="1">
      <alignment horizontal="left" vertical="top"/>
    </xf>
    <xf numFmtId="0" fontId="27" fillId="0" borderId="0" xfId="3" applyNumberFormat="1" applyFont="1" applyFill="1" applyAlignment="1">
      <alignment horizontal="left" vertical="top"/>
    </xf>
    <xf numFmtId="170" fontId="27" fillId="24" borderId="0" xfId="0" applyNumberFormat="1" applyFont="1" applyFill="1" applyAlignment="1">
      <alignment horizontal="left" vertical="top"/>
    </xf>
    <xf numFmtId="0" fontId="50" fillId="0" borderId="1" xfId="0" applyNumberFormat="1" applyFont="1" applyFill="1" applyBorder="1" applyAlignment="1">
      <alignment horizontal="left" vertical="top"/>
    </xf>
    <xf numFmtId="0" fontId="28" fillId="16" borderId="1" xfId="0" applyNumberFormat="1" applyFont="1" applyFill="1" applyBorder="1" applyAlignment="1">
      <alignment horizontal="left" vertical="top"/>
    </xf>
    <xf numFmtId="170" fontId="27" fillId="16" borderId="0" xfId="0" applyNumberFormat="1" applyFont="1" applyFill="1" applyAlignment="1">
      <alignment horizontal="left" vertical="top"/>
    </xf>
    <xf numFmtId="0" fontId="27" fillId="0" borderId="1" xfId="0" applyNumberFormat="1" applyFont="1" applyFill="1" applyBorder="1" applyAlignment="1">
      <alignment horizontal="left" vertical="top" wrapText="1"/>
    </xf>
    <xf numFmtId="0" fontId="27" fillId="22" borderId="1" xfId="0" applyNumberFormat="1" applyFont="1" applyFill="1" applyBorder="1" applyAlignment="1">
      <alignment horizontal="left" vertical="top" wrapText="1"/>
    </xf>
    <xf numFmtId="0" fontId="48" fillId="24" borderId="1" xfId="0" applyNumberFormat="1" applyFont="1" applyFill="1" applyBorder="1" applyAlignment="1">
      <alignment horizontal="left" vertical="top"/>
    </xf>
    <xf numFmtId="0" fontId="28" fillId="0" borderId="1" xfId="0" applyNumberFormat="1" applyFont="1" applyFill="1" applyBorder="1" applyAlignment="1">
      <alignment horizontal="left" vertical="top"/>
    </xf>
    <xf numFmtId="0" fontId="28" fillId="24" borderId="1" xfId="0" applyNumberFormat="1" applyFont="1" applyFill="1" applyBorder="1" applyAlignment="1">
      <alignment horizontal="left" vertical="top"/>
    </xf>
    <xf numFmtId="10" fontId="27" fillId="0" borderId="1" xfId="0" applyNumberFormat="1" applyFont="1" applyFill="1" applyBorder="1" applyAlignment="1">
      <alignment horizontal="left" vertical="top"/>
    </xf>
    <xf numFmtId="0" fontId="28" fillId="23" borderId="18" xfId="0" applyNumberFormat="1" applyFont="1" applyFill="1" applyBorder="1" applyAlignment="1">
      <alignment horizontal="left" vertical="top"/>
    </xf>
    <xf numFmtId="0" fontId="45" fillId="0" borderId="0" xfId="3" applyNumberFormat="1" applyFont="1" applyAlignment="1">
      <alignment horizontal="left" vertical="top"/>
    </xf>
    <xf numFmtId="44" fontId="45" fillId="0" borderId="0" xfId="1" applyFont="1" applyAlignment="1">
      <alignment horizontal="center" vertical="top"/>
    </xf>
    <xf numFmtId="0" fontId="52" fillId="0" borderId="0" xfId="0" applyNumberFormat="1" applyFont="1" applyAlignment="1">
      <alignment horizontal="left" vertical="top"/>
    </xf>
    <xf numFmtId="0" fontId="45" fillId="6" borderId="0" xfId="0" applyNumberFormat="1" applyFont="1" applyFill="1" applyAlignment="1">
      <alignment horizontal="left" vertical="top"/>
    </xf>
    <xf numFmtId="44" fontId="36" fillId="24" borderId="1" xfId="1" applyFont="1" applyFill="1" applyBorder="1"/>
    <xf numFmtId="44" fontId="32" fillId="24" borderId="1" xfId="1" applyFont="1" applyFill="1" applyBorder="1"/>
    <xf numFmtId="0" fontId="32" fillId="24" borderId="1" xfId="0" applyFont="1" applyFill="1" applyBorder="1" applyAlignment="1">
      <alignment horizontal="left"/>
    </xf>
    <xf numFmtId="0" fontId="49" fillId="0" borderId="0" xfId="0" applyNumberFormat="1" applyFont="1" applyFill="1" applyAlignment="1">
      <alignment horizontal="left" vertical="top" wrapText="1"/>
    </xf>
    <xf numFmtId="0" fontId="27" fillId="0" borderId="0" xfId="0" applyNumberFormat="1" applyFont="1" applyFill="1" applyAlignment="1">
      <alignment horizontal="left" vertical="top" wrapText="1"/>
    </xf>
    <xf numFmtId="44" fontId="32" fillId="24" borderId="2" xfId="1" applyFont="1" applyFill="1" applyBorder="1"/>
    <xf numFmtId="44" fontId="32" fillId="24" borderId="22" xfId="1" applyFont="1" applyFill="1" applyBorder="1"/>
    <xf numFmtId="44" fontId="32" fillId="24" borderId="3" xfId="1" applyFont="1" applyFill="1" applyBorder="1"/>
    <xf numFmtId="9" fontId="11" fillId="0" borderId="0" xfId="2" applyFont="1" applyFill="1" applyBorder="1" applyAlignment="1">
      <alignment horizontal="center"/>
    </xf>
    <xf numFmtId="43" fontId="11" fillId="0" borderId="0" xfId="3" applyFont="1" applyFill="1" applyBorder="1" applyAlignment="1">
      <alignment horizontal="center"/>
    </xf>
    <xf numFmtId="168" fontId="11" fillId="0" borderId="0" xfId="0" applyNumberFormat="1" applyFont="1"/>
    <xf numFmtId="44" fontId="33" fillId="24" borderId="1" xfId="1" applyFont="1" applyFill="1" applyBorder="1"/>
    <xf numFmtId="0" fontId="40" fillId="0" borderId="0" xfId="0" applyFont="1"/>
    <xf numFmtId="44" fontId="41" fillId="0" borderId="0" xfId="1" applyFont="1"/>
    <xf numFmtId="0" fontId="53" fillId="0" borderId="0" xfId="0" applyFont="1"/>
    <xf numFmtId="44" fontId="40" fillId="0" borderId="0" xfId="1" applyFont="1"/>
    <xf numFmtId="0" fontId="54" fillId="0" borderId="0" xfId="0" applyFont="1"/>
    <xf numFmtId="44" fontId="11" fillId="14" borderId="23" xfId="1" applyFont="1" applyFill="1" applyBorder="1"/>
    <xf numFmtId="0" fontId="28" fillId="0" borderId="3" xfId="0" applyNumberFormat="1" applyFont="1" applyFill="1" applyBorder="1" applyAlignment="1">
      <alignment horizontal="left" vertical="top" wrapText="1"/>
    </xf>
    <xf numFmtId="0" fontId="27" fillId="0" borderId="3" xfId="0" applyNumberFormat="1" applyFont="1" applyFill="1" applyBorder="1" applyAlignment="1">
      <alignment horizontal="left" vertical="top" wrapText="1"/>
    </xf>
    <xf numFmtId="0" fontId="46" fillId="0" borderId="3" xfId="0" applyNumberFormat="1" applyFont="1" applyFill="1" applyBorder="1" applyAlignment="1">
      <alignment horizontal="left" vertical="top" wrapText="1"/>
    </xf>
    <xf numFmtId="0" fontId="51" fillId="0" borderId="3" xfId="0" applyNumberFormat="1" applyFont="1" applyFill="1" applyBorder="1" applyAlignment="1">
      <alignment horizontal="left" vertical="top" wrapText="1"/>
    </xf>
    <xf numFmtId="0" fontId="28" fillId="0" borderId="1" xfId="0" applyNumberFormat="1" applyFont="1" applyFill="1" applyBorder="1" applyAlignment="1">
      <alignment horizontal="left" vertical="top" wrapText="1"/>
    </xf>
    <xf numFmtId="0" fontId="11" fillId="0" borderId="0" xfId="0" applyFont="1" applyFill="1" applyBorder="1" applyAlignment="1">
      <alignment horizontal="right"/>
    </xf>
    <xf numFmtId="0" fontId="11" fillId="0" borderId="0" xfId="0" applyFont="1" applyAlignment="1">
      <alignment wrapText="1"/>
    </xf>
    <xf numFmtId="17" fontId="11" fillId="0" borderId="0" xfId="3" applyNumberFormat="1" applyFont="1"/>
    <xf numFmtId="43" fontId="11" fillId="0" borderId="10" xfId="3" applyFont="1" applyBorder="1"/>
    <xf numFmtId="43" fontId="0" fillId="0" borderId="0" xfId="3" applyFont="1" applyFill="1" applyBorder="1"/>
    <xf numFmtId="0" fontId="30" fillId="19" borderId="0" xfId="0" applyFont="1" applyFill="1" applyBorder="1"/>
    <xf numFmtId="43" fontId="11" fillId="0" borderId="0" xfId="0" applyNumberFormat="1" applyFont="1"/>
    <xf numFmtId="43" fontId="17" fillId="0" borderId="0" xfId="0" applyNumberFormat="1" applyFont="1"/>
    <xf numFmtId="43" fontId="17" fillId="0" borderId="19" xfId="0" applyNumberFormat="1" applyFont="1" applyBorder="1" applyAlignment="1">
      <alignment horizontal="center"/>
    </xf>
    <xf numFmtId="43" fontId="11" fillId="0" borderId="23" xfId="0" applyNumberFormat="1" applyFont="1" applyBorder="1"/>
    <xf numFmtId="43" fontId="11" fillId="16" borderId="23" xfId="0" applyNumberFormat="1" applyFont="1" applyFill="1" applyBorder="1"/>
    <xf numFmtId="43" fontId="11" fillId="0" borderId="26" xfId="0" applyNumberFormat="1" applyFont="1" applyBorder="1"/>
    <xf numFmtId="0" fontId="17" fillId="0" borderId="28" xfId="0" applyFont="1" applyBorder="1" applyAlignment="1">
      <alignment horizontal="center"/>
    </xf>
    <xf numFmtId="43" fontId="11" fillId="0" borderId="31" xfId="0" applyNumberFormat="1" applyFont="1" applyBorder="1"/>
    <xf numFmtId="43" fontId="11" fillId="16" borderId="31" xfId="0" applyNumberFormat="1" applyFont="1" applyFill="1" applyBorder="1"/>
    <xf numFmtId="43" fontId="11" fillId="0" borderId="32" xfId="0" applyNumberFormat="1" applyFont="1" applyBorder="1"/>
    <xf numFmtId="0" fontId="17" fillId="0" borderId="33" xfId="0" applyFont="1" applyBorder="1" applyAlignment="1">
      <alignment horizontal="center"/>
    </xf>
    <xf numFmtId="43" fontId="11" fillId="0" borderId="29" xfId="3" applyFont="1" applyBorder="1"/>
    <xf numFmtId="43" fontId="11" fillId="0" borderId="30" xfId="0" applyNumberFormat="1" applyFont="1" applyBorder="1"/>
    <xf numFmtId="43" fontId="11" fillId="0" borderId="22" xfId="3" applyFont="1" applyBorder="1"/>
    <xf numFmtId="43" fontId="11" fillId="16" borderId="22" xfId="3" applyFont="1" applyFill="1" applyBorder="1"/>
    <xf numFmtId="43" fontId="11" fillId="0" borderId="24" xfId="3" applyFont="1" applyBorder="1"/>
    <xf numFmtId="0" fontId="17" fillId="0" borderId="0" xfId="0" applyFont="1" applyFill="1" applyBorder="1" applyAlignment="1">
      <alignment horizontal="left"/>
    </xf>
    <xf numFmtId="44" fontId="17" fillId="6" borderId="0" xfId="1" applyFont="1" applyFill="1"/>
    <xf numFmtId="44" fontId="37" fillId="0" borderId="0" xfId="1" applyFont="1"/>
    <xf numFmtId="0" fontId="0" fillId="0" borderId="0" xfId="0" applyFont="1" applyAlignment="1">
      <alignment wrapText="1"/>
    </xf>
    <xf numFmtId="0" fontId="0" fillId="0" borderId="0" xfId="0" applyFont="1" applyFill="1" applyAlignment="1">
      <alignment wrapText="1"/>
    </xf>
    <xf numFmtId="166" fontId="55" fillId="0" borderId="0" xfId="1" applyNumberFormat="1" applyFont="1" applyFill="1" applyBorder="1" applyAlignment="1">
      <alignment wrapText="1"/>
    </xf>
    <xf numFmtId="166" fontId="56" fillId="0" borderId="0" xfId="1" applyNumberFormat="1" applyFont="1" applyBorder="1" applyAlignment="1">
      <alignment wrapText="1"/>
    </xf>
    <xf numFmtId="166" fontId="11" fillId="0" borderId="0" xfId="1" applyNumberFormat="1" applyFont="1" applyBorder="1" applyAlignment="1">
      <alignment wrapText="1"/>
    </xf>
    <xf numFmtId="44" fontId="11" fillId="0" borderId="0" xfId="0" applyNumberFormat="1" applyFont="1"/>
    <xf numFmtId="44" fontId="17" fillId="0" borderId="0" xfId="0" applyNumberFormat="1" applyFont="1"/>
    <xf numFmtId="0" fontId="17" fillId="0" borderId="0" xfId="0" applyFont="1" applyAlignment="1">
      <alignment horizontal="center" wrapText="1"/>
    </xf>
    <xf numFmtId="44" fontId="11" fillId="24" borderId="0" xfId="0" applyNumberFormat="1" applyFont="1" applyFill="1"/>
    <xf numFmtId="0" fontId="43" fillId="0" borderId="9" xfId="0" applyFont="1" applyFill="1" applyBorder="1" applyAlignment="1"/>
    <xf numFmtId="0" fontId="43" fillId="0" borderId="10" xfId="0" applyFont="1" applyFill="1" applyBorder="1" applyAlignment="1"/>
    <xf numFmtId="0" fontId="42" fillId="0" borderId="11" xfId="0" applyFont="1" applyFill="1" applyBorder="1" applyAlignment="1">
      <alignment horizontal="center"/>
    </xf>
    <xf numFmtId="0" fontId="40" fillId="0" borderId="1" xfId="0" applyFont="1" applyFill="1" applyBorder="1"/>
    <xf numFmtId="37" fontId="43" fillId="0" borderId="1" xfId="0" applyNumberFormat="1" applyFont="1" applyFill="1" applyBorder="1" applyAlignment="1">
      <alignment horizontal="center"/>
    </xf>
    <xf numFmtId="37" fontId="41" fillId="7" borderId="1" xfId="0" applyNumberFormat="1" applyFont="1" applyFill="1" applyBorder="1"/>
    <xf numFmtId="0" fontId="42" fillId="0" borderId="1" xfId="0" applyFont="1" applyFill="1" applyBorder="1" applyAlignment="1"/>
    <xf numFmtId="10" fontId="41" fillId="0" borderId="1" xfId="2" applyNumberFormat="1" applyFont="1" applyBorder="1"/>
    <xf numFmtId="0" fontId="42" fillId="0" borderId="1" xfId="0" applyFont="1" applyFill="1" applyBorder="1"/>
    <xf numFmtId="0" fontId="42" fillId="0" borderId="1" xfId="0" applyFont="1" applyBorder="1"/>
    <xf numFmtId="0" fontId="41" fillId="0" borderId="0" xfId="0" applyFont="1" applyFill="1"/>
    <xf numFmtId="0" fontId="43" fillId="0" borderId="11" xfId="0" applyFont="1" applyFill="1" applyBorder="1" applyAlignment="1"/>
    <xf numFmtId="43" fontId="17" fillId="6" borderId="0" xfId="3" applyFont="1" applyFill="1"/>
    <xf numFmtId="0" fontId="11" fillId="19" borderId="1" xfId="0" applyFont="1" applyFill="1" applyBorder="1"/>
    <xf numFmtId="0" fontId="3" fillId="19" borderId="1" xfId="0" applyFont="1" applyFill="1" applyBorder="1"/>
    <xf numFmtId="0" fontId="11" fillId="19" borderId="3" xfId="0" applyFont="1" applyFill="1" applyBorder="1"/>
    <xf numFmtId="0" fontId="2" fillId="3" borderId="11" xfId="0" applyFont="1" applyFill="1" applyBorder="1" applyAlignment="1">
      <alignment horizontal="center"/>
    </xf>
    <xf numFmtId="169" fontId="17" fillId="6" borderId="0" xfId="2" applyNumberFormat="1" applyFont="1" applyFill="1"/>
    <xf numFmtId="44" fontId="11" fillId="13" borderId="0" xfId="1" applyFont="1" applyFill="1"/>
    <xf numFmtId="43" fontId="11" fillId="13" borderId="0" xfId="3" applyFont="1" applyFill="1"/>
    <xf numFmtId="0" fontId="14" fillId="0" borderId="0" xfId="0" applyFont="1" applyAlignment="1">
      <alignment vertical="center"/>
    </xf>
    <xf numFmtId="44" fontId="0" fillId="0" borderId="0" xfId="0" applyNumberFormat="1"/>
    <xf numFmtId="43" fontId="0" fillId="0" borderId="0" xfId="0" applyNumberFormat="1"/>
    <xf numFmtId="44" fontId="0" fillId="0" borderId="0" xfId="1" applyFont="1"/>
    <xf numFmtId="0" fontId="58" fillId="0" borderId="0" xfId="0" applyFont="1"/>
    <xf numFmtId="44" fontId="58" fillId="0" borderId="0" xfId="0" applyNumberFormat="1" applyFont="1"/>
    <xf numFmtId="0" fontId="13" fillId="0" borderId="0" xfId="0" applyFont="1" applyBorder="1"/>
    <xf numFmtId="0" fontId="13" fillId="0" borderId="0" xfId="0" applyFont="1" applyBorder="1" applyAlignment="1">
      <alignment horizontal="center"/>
    </xf>
    <xf numFmtId="0" fontId="13" fillId="0" borderId="10" xfId="0" applyFont="1" applyFill="1" applyBorder="1" applyAlignment="1">
      <alignment horizontal="center"/>
    </xf>
    <xf numFmtId="43" fontId="58" fillId="0" borderId="0" xfId="0" applyNumberFormat="1" applyFont="1"/>
    <xf numFmtId="0" fontId="17" fillId="19" borderId="1" xfId="0" applyFont="1" applyFill="1" applyBorder="1" applyAlignment="1">
      <alignment wrapText="1"/>
    </xf>
    <xf numFmtId="0" fontId="17" fillId="19" borderId="2" xfId="0" applyFont="1" applyFill="1" applyBorder="1" applyAlignment="1">
      <alignment wrapText="1"/>
    </xf>
    <xf numFmtId="0" fontId="12" fillId="19" borderId="1" xfId="0" applyFont="1" applyFill="1" applyBorder="1" applyAlignment="1">
      <alignment wrapText="1"/>
    </xf>
    <xf numFmtId="0" fontId="17" fillId="19" borderId="3" xfId="0" applyFont="1" applyFill="1" applyBorder="1" applyAlignment="1">
      <alignment wrapText="1"/>
    </xf>
    <xf numFmtId="0" fontId="17" fillId="19" borderId="22" xfId="0" applyFont="1" applyFill="1" applyBorder="1" applyAlignment="1">
      <alignment wrapText="1"/>
    </xf>
    <xf numFmtId="0" fontId="30" fillId="19" borderId="1" xfId="0" applyFont="1" applyFill="1" applyBorder="1" applyAlignment="1">
      <alignment wrapText="1"/>
    </xf>
    <xf numFmtId="0" fontId="11" fillId="0" borderId="0" xfId="0" applyFont="1" applyFill="1" applyBorder="1"/>
    <xf numFmtId="0" fontId="11" fillId="0" borderId="0" xfId="0" applyFont="1" applyBorder="1" applyAlignment="1"/>
    <xf numFmtId="44" fontId="36" fillId="0" borderId="1" xfId="1" applyFont="1" applyFill="1" applyBorder="1"/>
    <xf numFmtId="0" fontId="32" fillId="0" borderId="1" xfId="0" applyFont="1" applyFill="1" applyBorder="1" applyAlignment="1">
      <alignment horizontal="center" wrapText="1"/>
    </xf>
    <xf numFmtId="0" fontId="17" fillId="19" borderId="1" xfId="0" applyFont="1" applyFill="1" applyBorder="1" applyAlignment="1">
      <alignment horizontal="center"/>
    </xf>
    <xf numFmtId="44" fontId="11" fillId="19" borderId="1" xfId="1" applyFont="1" applyFill="1" applyBorder="1"/>
    <xf numFmtId="44" fontId="37" fillId="19" borderId="1" xfId="1" applyFont="1" applyFill="1" applyBorder="1"/>
    <xf numFmtId="0" fontId="11" fillId="0" borderId="7" xfId="0" applyFont="1" applyBorder="1" applyAlignment="1"/>
    <xf numFmtId="0" fontId="17" fillId="7" borderId="1" xfId="0" applyFont="1" applyFill="1" applyBorder="1" applyAlignment="1">
      <alignment horizontal="center"/>
    </xf>
    <xf numFmtId="0" fontId="12" fillId="0" borderId="1" xfId="0" applyFont="1" applyBorder="1" applyAlignment="1">
      <alignment horizontal="left"/>
    </xf>
    <xf numFmtId="0" fontId="12" fillId="7" borderId="1" xfId="0" applyFont="1" applyFill="1" applyBorder="1" applyAlignment="1">
      <alignment horizontal="center"/>
    </xf>
    <xf numFmtId="0" fontId="17" fillId="0" borderId="2" xfId="0" applyFont="1" applyBorder="1" applyAlignment="1">
      <alignment horizontal="left"/>
    </xf>
    <xf numFmtId="0" fontId="17" fillId="0" borderId="12" xfId="0" applyFont="1" applyBorder="1" applyAlignment="1">
      <alignment horizontal="left"/>
    </xf>
    <xf numFmtId="0" fontId="17" fillId="0" borderId="3" xfId="0" applyFont="1" applyBorder="1" applyAlignment="1">
      <alignment horizontal="left"/>
    </xf>
    <xf numFmtId="0" fontId="8" fillId="2" borderId="4" xfId="0" applyFont="1" applyFill="1" applyBorder="1" applyAlignment="1">
      <alignment horizontal="center"/>
    </xf>
    <xf numFmtId="0" fontId="8" fillId="2" borderId="5" xfId="0" applyFont="1" applyFill="1" applyBorder="1" applyAlignment="1">
      <alignment horizontal="center"/>
    </xf>
    <xf numFmtId="0" fontId="8" fillId="2" borderId="6" xfId="0" applyFont="1" applyFill="1" applyBorder="1" applyAlignment="1">
      <alignment horizontal="center"/>
    </xf>
    <xf numFmtId="0" fontId="8" fillId="2" borderId="7"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9" xfId="0" applyFont="1" applyFill="1" applyBorder="1" applyAlignment="1">
      <alignment horizontal="center"/>
    </xf>
    <xf numFmtId="0" fontId="8" fillId="2" borderId="10" xfId="0" applyFont="1" applyFill="1" applyBorder="1" applyAlignment="1">
      <alignment horizontal="center"/>
    </xf>
    <xf numFmtId="0" fontId="8" fillId="2" borderId="11" xfId="0" applyFont="1" applyFill="1" applyBorder="1" applyAlignment="1">
      <alignment horizontal="center"/>
    </xf>
    <xf numFmtId="0" fontId="11" fillId="2" borderId="4" xfId="0" applyFont="1" applyFill="1" applyBorder="1" applyAlignment="1">
      <alignment horizontal="center"/>
    </xf>
    <xf numFmtId="0" fontId="11"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0" fontId="11" fillId="2" borderId="0"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0" borderId="2" xfId="0" applyFont="1" applyBorder="1" applyAlignment="1">
      <alignment horizontal="left"/>
    </xf>
    <xf numFmtId="0" fontId="11" fillId="0" borderId="12" xfId="0" applyFont="1" applyBorder="1" applyAlignment="1">
      <alignment horizontal="left"/>
    </xf>
    <xf numFmtId="0" fontId="11" fillId="0" borderId="3" xfId="0" applyFont="1" applyBorder="1" applyAlignment="1">
      <alignment horizontal="left"/>
    </xf>
    <xf numFmtId="0" fontId="17" fillId="4" borderId="1" xfId="0" applyFont="1" applyFill="1" applyBorder="1" applyAlignment="1">
      <alignment horizontal="center"/>
    </xf>
    <xf numFmtId="43" fontId="11" fillId="13" borderId="0" xfId="3" applyFont="1" applyFill="1" applyAlignment="1">
      <alignment horizontal="center"/>
    </xf>
    <xf numFmtId="0" fontId="17" fillId="3" borderId="1" xfId="0" applyFont="1" applyFill="1" applyBorder="1" applyAlignment="1">
      <alignment horizontal="center"/>
    </xf>
    <xf numFmtId="0" fontId="12" fillId="12" borderId="2" xfId="0" applyFont="1" applyFill="1" applyBorder="1" applyAlignment="1">
      <alignment horizontal="center"/>
    </xf>
    <xf numFmtId="0" fontId="12" fillId="12" borderId="12" xfId="0" applyFont="1" applyFill="1" applyBorder="1" applyAlignment="1">
      <alignment horizontal="center"/>
    </xf>
    <xf numFmtId="0" fontId="12" fillId="12" borderId="3" xfId="0" applyFont="1" applyFill="1" applyBorder="1" applyAlignment="1">
      <alignment horizontal="center"/>
    </xf>
    <xf numFmtId="0" fontId="13" fillId="15" borderId="2" xfId="0" applyFont="1" applyFill="1" applyBorder="1" applyAlignment="1">
      <alignment horizontal="center"/>
    </xf>
    <xf numFmtId="0" fontId="13" fillId="15" borderId="12" xfId="0" applyFont="1" applyFill="1" applyBorder="1" applyAlignment="1">
      <alignment horizontal="center"/>
    </xf>
    <xf numFmtId="0" fontId="13" fillId="15" borderId="3"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0"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13" fillId="7" borderId="2" xfId="0" applyFont="1" applyFill="1" applyBorder="1" applyAlignment="1">
      <alignment horizontal="center"/>
    </xf>
    <xf numFmtId="0" fontId="13" fillId="7" borderId="12" xfId="0" applyFont="1" applyFill="1" applyBorder="1" applyAlignment="1">
      <alignment horizontal="center"/>
    </xf>
    <xf numFmtId="0" fontId="13" fillId="7" borderId="3" xfId="0" applyFont="1" applyFill="1" applyBorder="1" applyAlignment="1">
      <alignment horizontal="center"/>
    </xf>
    <xf numFmtId="0" fontId="13" fillId="10" borderId="2" xfId="0" applyFont="1" applyFill="1" applyBorder="1" applyAlignment="1">
      <alignment horizontal="center"/>
    </xf>
    <xf numFmtId="0" fontId="13" fillId="10" borderId="12" xfId="0" applyFont="1" applyFill="1" applyBorder="1" applyAlignment="1">
      <alignment horizontal="center"/>
    </xf>
    <xf numFmtId="0" fontId="13" fillId="10" borderId="3" xfId="0" applyFont="1" applyFill="1" applyBorder="1" applyAlignment="1">
      <alignment horizontal="center"/>
    </xf>
    <xf numFmtId="0" fontId="13" fillId="13" borderId="2" xfId="0" applyFont="1" applyFill="1" applyBorder="1" applyAlignment="1">
      <alignment horizontal="center"/>
    </xf>
    <xf numFmtId="0" fontId="13" fillId="13" borderId="12" xfId="0" applyFont="1" applyFill="1" applyBorder="1" applyAlignment="1">
      <alignment horizontal="center"/>
    </xf>
    <xf numFmtId="0" fontId="13" fillId="13" borderId="3" xfId="0" applyFont="1" applyFill="1" applyBorder="1" applyAlignment="1">
      <alignment horizontal="center"/>
    </xf>
    <xf numFmtId="0" fontId="12" fillId="11" borderId="1" xfId="0" applyFont="1" applyFill="1" applyBorder="1" applyAlignment="1">
      <alignment horizontal="center"/>
    </xf>
    <xf numFmtId="0" fontId="5" fillId="0" borderId="1" xfId="0" applyFont="1" applyBorder="1" applyAlignment="1">
      <alignment horizontal="left"/>
    </xf>
    <xf numFmtId="0" fontId="0" fillId="0" borderId="2" xfId="0" applyBorder="1" applyAlignment="1">
      <alignment horizontal="left"/>
    </xf>
    <xf numFmtId="0" fontId="0" fillId="0" borderId="12" xfId="0" applyBorder="1" applyAlignment="1">
      <alignment horizontal="left"/>
    </xf>
    <xf numFmtId="0" fontId="0" fillId="0" borderId="3" xfId="0" applyBorder="1" applyAlignment="1">
      <alignment horizontal="left"/>
    </xf>
    <xf numFmtId="0" fontId="12" fillId="5" borderId="1" xfId="0" applyFont="1" applyFill="1" applyBorder="1" applyAlignment="1">
      <alignment horizontal="center"/>
    </xf>
    <xf numFmtId="0" fontId="17" fillId="0" borderId="0" xfId="0" applyFont="1" applyAlignment="1">
      <alignment horizontal="center"/>
    </xf>
    <xf numFmtId="0" fontId="41" fillId="20" borderId="7" xfId="0" applyFont="1" applyFill="1" applyBorder="1" applyAlignment="1">
      <alignment horizontal="center"/>
    </xf>
    <xf numFmtId="0" fontId="41" fillId="2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center"/>
    </xf>
    <xf numFmtId="0" fontId="17" fillId="0" borderId="0" xfId="0" applyFont="1" applyBorder="1" applyAlignment="1">
      <alignment horizontal="center"/>
    </xf>
    <xf numFmtId="0" fontId="11" fillId="24" borderId="18"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11" fillId="24" borderId="14" xfId="0" applyFont="1" applyFill="1" applyBorder="1" applyAlignment="1">
      <alignment horizontal="center" vertical="center" wrapText="1"/>
    </xf>
    <xf numFmtId="0" fontId="11" fillId="3" borderId="1" xfId="0" applyFont="1" applyFill="1" applyBorder="1" applyAlignment="1">
      <alignment horizontal="center"/>
    </xf>
    <xf numFmtId="0" fontId="17" fillId="7" borderId="10" xfId="0" applyFont="1" applyFill="1" applyBorder="1" applyAlignment="1">
      <alignment horizontal="left"/>
    </xf>
    <xf numFmtId="0" fontId="17" fillId="7" borderId="11" xfId="0" applyFont="1" applyFill="1" applyBorder="1" applyAlignment="1">
      <alignment horizontal="left"/>
    </xf>
    <xf numFmtId="0" fontId="11" fillId="3" borderId="2" xfId="0" applyFont="1" applyFill="1" applyBorder="1" applyAlignment="1">
      <alignment horizontal="center"/>
    </xf>
    <xf numFmtId="0" fontId="11" fillId="3" borderId="12" xfId="0" applyFont="1" applyFill="1" applyBorder="1" applyAlignment="1">
      <alignment horizontal="center"/>
    </xf>
    <xf numFmtId="0" fontId="11" fillId="3" borderId="3" xfId="0" applyFont="1" applyFill="1" applyBorder="1" applyAlignment="1">
      <alignment horizontal="center"/>
    </xf>
    <xf numFmtId="0" fontId="12" fillId="7" borderId="9" xfId="0" applyFont="1" applyFill="1" applyBorder="1" applyAlignment="1">
      <alignment horizontal="left"/>
    </xf>
    <xf numFmtId="0" fontId="12" fillId="7" borderId="10" xfId="0" applyFont="1" applyFill="1" applyBorder="1" applyAlignment="1">
      <alignment horizontal="left"/>
    </xf>
    <xf numFmtId="0" fontId="12" fillId="7" borderId="11" xfId="0" applyFont="1" applyFill="1" applyBorder="1" applyAlignment="1">
      <alignment horizontal="left"/>
    </xf>
    <xf numFmtId="0" fontId="11" fillId="7" borderId="1" xfId="0" applyFont="1" applyFill="1" applyBorder="1" applyAlignment="1">
      <alignment horizontal="center"/>
    </xf>
    <xf numFmtId="0" fontId="12" fillId="3" borderId="9" xfId="0" applyFont="1" applyFill="1" applyBorder="1" applyAlignment="1">
      <alignment horizontal="left"/>
    </xf>
    <xf numFmtId="0" fontId="12" fillId="3" borderId="10" xfId="0" applyFont="1" applyFill="1" applyBorder="1" applyAlignment="1">
      <alignment horizontal="left"/>
    </xf>
    <xf numFmtId="0" fontId="12" fillId="3" borderId="11" xfId="0" applyFont="1" applyFill="1" applyBorder="1" applyAlignment="1">
      <alignment horizontal="left"/>
    </xf>
    <xf numFmtId="0" fontId="11" fillId="5" borderId="1" xfId="0" applyFont="1" applyFill="1" applyBorder="1" applyAlignment="1">
      <alignment horizontal="center"/>
    </xf>
    <xf numFmtId="0" fontId="11" fillId="15" borderId="1" xfId="0" applyFont="1" applyFill="1" applyBorder="1" applyAlignment="1">
      <alignment horizontal="center"/>
    </xf>
    <xf numFmtId="0" fontId="11" fillId="0" borderId="18"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57" fillId="0" borderId="0" xfId="0" applyFont="1" applyAlignment="1">
      <alignment horizontal="left" vertical="center" wrapText="1"/>
    </xf>
    <xf numFmtId="0" fontId="17" fillId="0" borderId="0" xfId="0" applyFont="1" applyAlignment="1">
      <alignment horizontal="center" vertical="center"/>
    </xf>
    <xf numFmtId="0" fontId="27" fillId="0" borderId="0" xfId="0" applyFont="1" applyAlignment="1">
      <alignment horizontal="center" vertical="center" wrapText="1"/>
    </xf>
    <xf numFmtId="0" fontId="27" fillId="0" borderId="10" xfId="0" applyFont="1" applyBorder="1" applyAlignment="1">
      <alignment horizontal="center" vertical="center" wrapText="1"/>
    </xf>
    <xf numFmtId="0" fontId="2" fillId="24" borderId="18" xfId="0" applyFont="1" applyFill="1" applyBorder="1" applyAlignment="1">
      <alignment horizontal="center" vertical="center" wrapText="1"/>
    </xf>
    <xf numFmtId="0" fontId="27" fillId="24" borderId="18" xfId="0" applyFont="1" applyFill="1" applyBorder="1" applyAlignment="1">
      <alignment horizontal="center" vertical="center" wrapText="1"/>
    </xf>
    <xf numFmtId="0" fontId="27" fillId="24" borderId="13" xfId="0" applyFont="1" applyFill="1" applyBorder="1" applyAlignment="1">
      <alignment horizontal="center" vertical="center" wrapText="1"/>
    </xf>
    <xf numFmtId="0" fontId="27" fillId="24" borderId="14" xfId="0" applyFont="1" applyFill="1" applyBorder="1" applyAlignment="1">
      <alignment horizontal="center" vertical="center" wrapText="1"/>
    </xf>
    <xf numFmtId="0" fontId="17" fillId="0" borderId="10" xfId="0" applyFont="1" applyBorder="1" applyAlignment="1">
      <alignment horizontal="center"/>
    </xf>
    <xf numFmtId="2" fontId="11" fillId="0" borderId="4" xfId="0" applyNumberFormat="1" applyFont="1" applyBorder="1" applyAlignment="1">
      <alignment wrapText="1"/>
    </xf>
    <xf numFmtId="2" fontId="11" fillId="0" borderId="5" xfId="0" applyNumberFormat="1" applyFont="1" applyBorder="1" applyAlignment="1">
      <alignment wrapText="1"/>
    </xf>
    <xf numFmtId="0" fontId="11" fillId="0" borderId="6" xfId="0" applyFont="1" applyBorder="1" applyAlignment="1">
      <alignment wrapText="1"/>
    </xf>
    <xf numFmtId="2" fontId="11" fillId="0" borderId="7" xfId="0" applyNumberFormat="1" applyFont="1" applyBorder="1" applyAlignment="1">
      <alignment wrapText="1"/>
    </xf>
    <xf numFmtId="2" fontId="11" fillId="0" borderId="0" xfId="0" applyNumberFormat="1" applyFont="1" applyBorder="1" applyAlignment="1">
      <alignment wrapText="1"/>
    </xf>
    <xf numFmtId="0" fontId="11" fillId="0" borderId="8" xfId="0" applyFont="1" applyBorder="1" applyAlignment="1">
      <alignment wrapText="1"/>
    </xf>
    <xf numFmtId="2" fontId="11" fillId="0" borderId="9" xfId="0" applyNumberFormat="1" applyFont="1" applyBorder="1" applyAlignment="1">
      <alignment wrapText="1"/>
    </xf>
    <xf numFmtId="2" fontId="11" fillId="0" borderId="10" xfId="0" applyNumberFormat="1" applyFont="1" applyBorder="1" applyAlignment="1">
      <alignment wrapText="1"/>
    </xf>
    <xf numFmtId="0" fontId="11" fillId="0" borderId="11" xfId="0" applyFont="1"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13" fillId="0" borderId="15"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36" fillId="0" borderId="19" xfId="0" applyFont="1" applyFill="1" applyBorder="1" applyAlignment="1">
      <alignment horizontal="center"/>
    </xf>
    <xf numFmtId="0" fontId="36" fillId="0" borderId="20" xfId="0" applyFont="1" applyFill="1" applyBorder="1" applyAlignment="1">
      <alignment horizontal="center"/>
    </xf>
    <xf numFmtId="0" fontId="36" fillId="0" borderId="21" xfId="0" applyFont="1" applyFill="1" applyBorder="1" applyAlignment="1">
      <alignment horizontal="center"/>
    </xf>
    <xf numFmtId="0" fontId="36" fillId="0" borderId="0" xfId="0" applyFont="1" applyFill="1" applyBorder="1" applyAlignment="1">
      <alignment horizontal="center"/>
    </xf>
    <xf numFmtId="0" fontId="13" fillId="0" borderId="0" xfId="0" applyFont="1" applyBorder="1" applyAlignment="1">
      <alignment horizontal="center"/>
    </xf>
    <xf numFmtId="0" fontId="13" fillId="0" borderId="0" xfId="0" applyFont="1" applyBorder="1" applyAlignment="1">
      <alignment horizontal="center" wrapText="1"/>
    </xf>
    <xf numFmtId="0" fontId="13" fillId="0" borderId="10" xfId="0" applyFont="1" applyBorder="1" applyAlignment="1">
      <alignment horizontal="center" wrapText="1"/>
    </xf>
  </cellXfs>
  <cellStyles count="4">
    <cellStyle name="Comma" xfId="3" builtinId="3"/>
    <cellStyle name="Currency" xfId="1" builtinId="4"/>
    <cellStyle name="Normal" xfId="0" builtinId="0"/>
    <cellStyle name="Percent" xfId="2" builtinId="5"/>
  </cellStyles>
  <dxfs count="15">
    <dxf>
      <font>
        <strike val="0"/>
        <outline val="0"/>
        <shadow val="0"/>
        <u val="none"/>
        <vertAlign val="baseline"/>
        <sz val="10"/>
        <color auto="1"/>
      </font>
      <numFmt numFmtId="0" formatCode="General"/>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auto="1"/>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auto="1"/>
      </font>
      <numFmt numFmtId="170" formatCode="&quot;$&quot;#,##0.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0"/>
        <color auto="1"/>
        <name val="Calibri"/>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left" vertical="top" textRotation="0" wrapText="1" indent="0" justifyLastLine="0" shrinkToFit="0" readingOrder="0"/>
      <border diagonalUp="0" diagonalDown="0"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left" vertical="top" textRotation="0" wrapText="0" indent="0" justifyLastLine="0" shrinkToFit="0" readingOrder="0"/>
    </dxf>
    <dxf>
      <border outline="0">
        <bottom style="thin">
          <color indexed="64"/>
        </bottom>
      </border>
    </dxf>
    <dxf>
      <font>
        <strike val="0"/>
        <outline val="0"/>
        <shadow val="0"/>
        <vertAlign val="baseline"/>
        <sz val="10"/>
      </font>
      <numFmt numFmtId="0" formatCode="General"/>
      <alignment horizontal="left" vertical="top" textRotation="0" wrapText="0" indent="0" justifyLastLine="0" shrinkToFit="0" readingOrder="0"/>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1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Budget</a:t>
            </a:r>
            <a:r>
              <a:rPr lang="en-US" baseline="0"/>
              <a:t> Neutrality Results</a:t>
            </a:r>
            <a:endParaRPr lang="en-US"/>
          </a:p>
        </c:rich>
      </c:tx>
      <c:layout>
        <c:manualLayout>
          <c:xMode val="edge"/>
          <c:yMode val="edge"/>
          <c:x val="0.40362560118387447"/>
          <c:y val="2.1750951604132675E-2"/>
        </c:manualLayout>
      </c:layout>
      <c:overlay val="0"/>
      <c:spPr>
        <a:noFill/>
        <a:ln w="25400">
          <a:noFill/>
        </a:ln>
      </c:spPr>
    </c:title>
    <c:autoTitleDeleted val="0"/>
    <c:plotArea>
      <c:layout>
        <c:manualLayout>
          <c:layoutTarget val="inner"/>
          <c:xMode val="edge"/>
          <c:yMode val="edge"/>
          <c:x val="0.12763596004439501"/>
          <c:y val="0.12234910277324702"/>
          <c:w val="0.7635960044395238"/>
          <c:h val="0.78031538879824813"/>
        </c:manualLayout>
      </c:layout>
      <c:lineChart>
        <c:grouping val="standard"/>
        <c:varyColors val="0"/>
        <c:ser>
          <c:idx val="0"/>
          <c:order val="0"/>
          <c:tx>
            <c:strRef>
              <c:f>'Appendix J-1'!$D$1</c:f>
              <c:strCache>
                <c:ptCount val="1"/>
                <c:pt idx="0">
                  <c:v>Total D+D'</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'Appendix J-1'!$D$2:$D$6</c:f>
              <c:numCache>
                <c:formatCode>"$"#,##0.00_);\("$"#,##0.00\)</c:formatCode>
                <c:ptCount val="5"/>
                <c:pt idx="0">
                  <c:v>117250.56059068273</c:v>
                </c:pt>
                <c:pt idx="1">
                  <c:v>122759.8756396565</c:v>
                </c:pt>
                <c:pt idx="2">
                  <c:v>126692.27071839401</c:v>
                </c:pt>
                <c:pt idx="3">
                  <c:v>131517.58436848316</c:v>
                </c:pt>
                <c:pt idx="4">
                  <c:v>137543.09624724419</c:v>
                </c:pt>
              </c:numCache>
            </c:numRef>
          </c:val>
          <c:smooth val="0"/>
        </c:ser>
        <c:ser>
          <c:idx val="1"/>
          <c:order val="1"/>
          <c:tx>
            <c:strRef>
              <c:f>'Appendix J-1'!$G$1</c:f>
              <c:strCache>
                <c:ptCount val="1"/>
                <c:pt idx="0">
                  <c:v>Total G + G'</c:v>
                </c:pt>
              </c:strCache>
            </c:strRef>
          </c:tx>
          <c:val>
            <c:numRef>
              <c:f>'Appendix J-1'!$G$2:$G$6</c:f>
              <c:numCache>
                <c:formatCode>"$"#,##0.00_);\("$"#,##0.00\)</c:formatCode>
                <c:ptCount val="5"/>
                <c:pt idx="0">
                  <c:v>308138.01623441995</c:v>
                </c:pt>
                <c:pt idx="1">
                  <c:v>317248.09304574929</c:v>
                </c:pt>
                <c:pt idx="2">
                  <c:v>317552.28614398453</c:v>
                </c:pt>
                <c:pt idx="3">
                  <c:v>335492.45445587212</c:v>
                </c:pt>
                <c:pt idx="4">
                  <c:v>344627.17673818063</c:v>
                </c:pt>
              </c:numCache>
            </c:numRef>
          </c:val>
          <c:smooth val="0"/>
        </c:ser>
        <c:dLbls>
          <c:showLegendKey val="0"/>
          <c:showVal val="0"/>
          <c:showCatName val="0"/>
          <c:showSerName val="0"/>
          <c:showPercent val="0"/>
          <c:showBubbleSize val="0"/>
        </c:dLbls>
        <c:marker val="1"/>
        <c:smooth val="0"/>
        <c:axId val="126867712"/>
        <c:axId val="127234432"/>
      </c:lineChart>
      <c:catAx>
        <c:axId val="126867712"/>
        <c:scaling>
          <c:orientation val="minMax"/>
        </c:scaling>
        <c:delete val="0"/>
        <c:axPos val="b"/>
        <c:title>
          <c:tx>
            <c:rich>
              <a:bodyPr/>
              <a:lstStyle/>
              <a:p>
                <a:pPr>
                  <a:defRPr b="1"/>
                </a:pPr>
                <a:r>
                  <a:rPr lang="en-US" b="1"/>
                  <a:t>New Waiver Years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7234432"/>
        <c:crosses val="autoZero"/>
        <c:auto val="1"/>
        <c:lblAlgn val="ctr"/>
        <c:lblOffset val="100"/>
        <c:tickLblSkip val="1"/>
        <c:tickMarkSkip val="1"/>
        <c:noMultiLvlLbl val="0"/>
      </c:catAx>
      <c:valAx>
        <c:axId val="127234432"/>
        <c:scaling>
          <c:orientation val="minMax"/>
          <c:min val="100000"/>
        </c:scaling>
        <c:delete val="0"/>
        <c:axPos val="l"/>
        <c:majorGridlines>
          <c:spPr>
            <a:ln w="3175">
              <a:solidFill>
                <a:srgbClr val="000000"/>
              </a:solidFill>
              <a:prstDash val="solid"/>
            </a:ln>
          </c:spPr>
        </c:majorGridlines>
        <c:numFmt formatCode="&quot;$&quot;#,##0.00_);\(&quot;$&quot;#,##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6867712"/>
        <c:crosses val="autoZero"/>
        <c:crossBetween val="between"/>
        <c:majorUnit val="25000"/>
      </c:valAx>
      <c:spPr>
        <a:solidFill>
          <a:srgbClr val="C0C0C0"/>
        </a:solidFill>
        <a:ln w="12700">
          <a:solidFill>
            <a:srgbClr val="808080"/>
          </a:solidFill>
          <a:prstDash val="solid"/>
        </a:ln>
      </c:spPr>
    </c:plotArea>
    <c:legend>
      <c:legendPos val="tr"/>
      <c:layout>
        <c:manualLayout>
          <c:xMode val="edge"/>
          <c:yMode val="edge"/>
          <c:x val="0.783833755694331"/>
          <c:y val="4.4245605662928495E-3"/>
          <c:w val="0.20876713327500918"/>
          <c:h val="0.11330310983854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655" l="0.70000000000000095" r="0.70000000000000095" t="0.75000000000000655" header="0.30000000000000027" footer="0.30000000000000027"/>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Factors D' &amp; G'</a:t>
            </a:r>
          </a:p>
        </c:rich>
      </c:tx>
      <c:layout>
        <c:manualLayout>
          <c:xMode val="edge"/>
          <c:yMode val="edge"/>
          <c:x val="0.43507214206437728"/>
          <c:y val="1.9575856443719716E-2"/>
        </c:manualLayout>
      </c:layout>
      <c:overlay val="0"/>
      <c:spPr>
        <a:noFill/>
        <a:ln w="25400">
          <a:noFill/>
        </a:ln>
      </c:spPr>
    </c:title>
    <c:autoTitleDeleted val="0"/>
    <c:plotArea>
      <c:layout>
        <c:manualLayout>
          <c:layoutTarget val="inner"/>
          <c:xMode val="edge"/>
          <c:yMode val="edge"/>
          <c:x val="0.10765815760266401"/>
          <c:y val="0.12234910277324702"/>
          <c:w val="0.77469478357382837"/>
          <c:h val="0.77161500815661654"/>
        </c:manualLayout>
      </c:layout>
      <c:lineChart>
        <c:grouping val="standard"/>
        <c:varyColors val="0"/>
        <c:ser>
          <c:idx val="0"/>
          <c:order val="0"/>
          <c:tx>
            <c:strRef>
              <c:f>'Non Factor D Back Up'!$A$8</c:f>
              <c:strCache>
                <c:ptCount val="1"/>
                <c:pt idx="0">
                  <c:v>Factor D'</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('Non Factor D Back Up'!$B$4:$P$4,'Non Factor D Back Up'!$B$8:$P$8)</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formatCode="&quot;$&quot;#,##0.00_);\(&quot;$&quot;#,##0.00\)">
                  <c:v>30020</c:v>
                </c:pt>
                <c:pt idx="16" formatCode="&quot;$&quot;#,##0.00_);\(&quot;$&quot;#,##0.00\)">
                  <c:v>29768.98</c:v>
                </c:pt>
                <c:pt idx="17" formatCode="&quot;$&quot;#,##0.00_);\(&quot;$&quot;#,##0.00\)">
                  <c:v>25589.66</c:v>
                </c:pt>
                <c:pt idx="18" formatCode="_(&quot;$&quot;* #,##0.00_);_(&quot;$&quot;* \(#,##0.00\);_(&quot;$&quot;* &quot;-&quot;??_);_(@_)">
                  <c:v>26087.119999999999</c:v>
                </c:pt>
                <c:pt idx="19" formatCode="_(&quot;$&quot;* #,##0.00_);_(&quot;$&quot;* \(#,##0.00\);_(&quot;$&quot;* &quot;-&quot;??_);_(@_)">
                  <c:v>21905.46</c:v>
                </c:pt>
                <c:pt idx="20" formatCode="_(&quot;$&quot;* #,##0.00_);_(&quot;$&quot;* \(#,##0.00\);_(&quot;$&quot;* &quot;-&quot;??_);_(@_)">
                  <c:v>23745.06</c:v>
                </c:pt>
                <c:pt idx="21" formatCode="_(&quot;$&quot;* #,##0.00_);_(&quot;$&quot;* \(#,##0.00\);_(&quot;$&quot;* &quot;-&quot;??_);_(@_)">
                  <c:v>11883.19</c:v>
                </c:pt>
                <c:pt idx="22" formatCode="_(&quot;$&quot;* #,##0.00_);_(&quot;$&quot;* \(#,##0.00\);_(&quot;$&quot;* &quot;-&quot;??_);_(@_)">
                  <c:v>10967.65</c:v>
                </c:pt>
                <c:pt idx="23" formatCode="_(&quot;$&quot;* #,##0.00_);_(&quot;$&quot;* \(#,##0.00\);_(&quot;$&quot;* &quot;-&quot;??_);_(@_)">
                  <c:v>10510.96</c:v>
                </c:pt>
                <c:pt idx="24" formatCode="&quot;$&quot;#,##0.00_);\(&quot;$&quot;#,##0.00\)">
                  <c:v>10794.755919999998</c:v>
                </c:pt>
                <c:pt idx="25" formatCode="&quot;$&quot;#,##0.00_);\(&quot;$&quot;#,##0.00\)">
                  <c:v>11086.214329839997</c:v>
                </c:pt>
                <c:pt idx="26" formatCode="&quot;$&quot;#,##0.00_);\(&quot;$&quot;#,##0.00\)">
                  <c:v>11385.542116745675</c:v>
                </c:pt>
                <c:pt idx="27" formatCode="&quot;$&quot;#,##0.00_);\(&quot;$&quot;#,##0.00\)">
                  <c:v>11692.951753897807</c:v>
                </c:pt>
                <c:pt idx="28" formatCode="&quot;$&quot;#,##0.00_);\(&quot;$&quot;#,##0.00\)">
                  <c:v>12008.661451253047</c:v>
                </c:pt>
                <c:pt idx="29" formatCode="&quot;$&quot;#,##0.00_);\(&quot;$&quot;#,##0.00\)">
                  <c:v>12332.895310436877</c:v>
                </c:pt>
              </c:numCache>
            </c:numRef>
          </c:cat>
          <c:val>
            <c:numRef>
              <c:f>'Non Factor D Back Up'!$B$8:$P$8</c:f>
              <c:numCache>
                <c:formatCode>"$"#,##0.00_);\("$"#,##0.00\)</c:formatCode>
                <c:ptCount val="15"/>
                <c:pt idx="0">
                  <c:v>30020</c:v>
                </c:pt>
                <c:pt idx="1">
                  <c:v>29768.98</c:v>
                </c:pt>
                <c:pt idx="2">
                  <c:v>25589.66</c:v>
                </c:pt>
                <c:pt idx="3" formatCode="_(&quot;$&quot;* #,##0.00_);_(&quot;$&quot;* \(#,##0.00\);_(&quot;$&quot;* &quot;-&quot;??_);_(@_)">
                  <c:v>26087.119999999999</c:v>
                </c:pt>
                <c:pt idx="4" formatCode="_(&quot;$&quot;* #,##0.00_);_(&quot;$&quot;* \(#,##0.00\);_(&quot;$&quot;* &quot;-&quot;??_);_(@_)">
                  <c:v>21905.46</c:v>
                </c:pt>
                <c:pt idx="5" formatCode="_(&quot;$&quot;* #,##0.00_);_(&quot;$&quot;* \(#,##0.00\);_(&quot;$&quot;* &quot;-&quot;??_);_(@_)">
                  <c:v>23745.06</c:v>
                </c:pt>
                <c:pt idx="6" formatCode="_(&quot;$&quot;* #,##0.00_);_(&quot;$&quot;* \(#,##0.00\);_(&quot;$&quot;* &quot;-&quot;??_);_(@_)">
                  <c:v>11883.19</c:v>
                </c:pt>
                <c:pt idx="7" formatCode="_(&quot;$&quot;* #,##0.00_);_(&quot;$&quot;* \(#,##0.00\);_(&quot;$&quot;* &quot;-&quot;??_);_(@_)">
                  <c:v>10967.65</c:v>
                </c:pt>
                <c:pt idx="8" formatCode="_(&quot;$&quot;* #,##0.00_);_(&quot;$&quot;* \(#,##0.00\);_(&quot;$&quot;* &quot;-&quot;??_);_(@_)">
                  <c:v>10510.96</c:v>
                </c:pt>
                <c:pt idx="9">
                  <c:v>10794.755919999998</c:v>
                </c:pt>
                <c:pt idx="10">
                  <c:v>11086.214329839997</c:v>
                </c:pt>
                <c:pt idx="11">
                  <c:v>11385.542116745675</c:v>
                </c:pt>
                <c:pt idx="12">
                  <c:v>11692.951753897807</c:v>
                </c:pt>
                <c:pt idx="13">
                  <c:v>12008.661451253047</c:v>
                </c:pt>
                <c:pt idx="14">
                  <c:v>12332.895310436877</c:v>
                </c:pt>
              </c:numCache>
            </c:numRef>
          </c:val>
          <c:smooth val="0"/>
        </c:ser>
        <c:ser>
          <c:idx val="1"/>
          <c:order val="1"/>
          <c:tx>
            <c:strRef>
              <c:f>'Non Factor D Back Up'!$A$10</c:f>
              <c:strCache>
                <c:ptCount val="1"/>
                <c:pt idx="0">
                  <c:v>Factor G'</c:v>
                </c:pt>
              </c:strCache>
            </c:strRef>
          </c:tx>
          <c:cat>
            <c:numRef>
              <c:f>('Non Factor D Back Up'!$B$4:$P$4,'Non Factor D Back Up'!$B$8:$P$8)</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formatCode="&quot;$&quot;#,##0.00_);\(&quot;$&quot;#,##0.00\)">
                  <c:v>30020</c:v>
                </c:pt>
                <c:pt idx="16" formatCode="&quot;$&quot;#,##0.00_);\(&quot;$&quot;#,##0.00\)">
                  <c:v>29768.98</c:v>
                </c:pt>
                <c:pt idx="17" formatCode="&quot;$&quot;#,##0.00_);\(&quot;$&quot;#,##0.00\)">
                  <c:v>25589.66</c:v>
                </c:pt>
                <c:pt idx="18" formatCode="_(&quot;$&quot;* #,##0.00_);_(&quot;$&quot;* \(#,##0.00\);_(&quot;$&quot;* &quot;-&quot;??_);_(@_)">
                  <c:v>26087.119999999999</c:v>
                </c:pt>
                <c:pt idx="19" formatCode="_(&quot;$&quot;* #,##0.00_);_(&quot;$&quot;* \(#,##0.00\);_(&quot;$&quot;* &quot;-&quot;??_);_(@_)">
                  <c:v>21905.46</c:v>
                </c:pt>
                <c:pt idx="20" formatCode="_(&quot;$&quot;* #,##0.00_);_(&quot;$&quot;* \(#,##0.00\);_(&quot;$&quot;* &quot;-&quot;??_);_(@_)">
                  <c:v>23745.06</c:v>
                </c:pt>
                <c:pt idx="21" formatCode="_(&quot;$&quot;* #,##0.00_);_(&quot;$&quot;* \(#,##0.00\);_(&quot;$&quot;* &quot;-&quot;??_);_(@_)">
                  <c:v>11883.19</c:v>
                </c:pt>
                <c:pt idx="22" formatCode="_(&quot;$&quot;* #,##0.00_);_(&quot;$&quot;* \(#,##0.00\);_(&quot;$&quot;* &quot;-&quot;??_);_(@_)">
                  <c:v>10967.65</c:v>
                </c:pt>
                <c:pt idx="23" formatCode="_(&quot;$&quot;* #,##0.00_);_(&quot;$&quot;* \(#,##0.00\);_(&quot;$&quot;* &quot;-&quot;??_);_(@_)">
                  <c:v>10510.96</c:v>
                </c:pt>
                <c:pt idx="24" formatCode="&quot;$&quot;#,##0.00_);\(&quot;$&quot;#,##0.00\)">
                  <c:v>10794.755919999998</c:v>
                </c:pt>
                <c:pt idx="25" formatCode="&quot;$&quot;#,##0.00_);\(&quot;$&quot;#,##0.00\)">
                  <c:v>11086.214329839997</c:v>
                </c:pt>
                <c:pt idx="26" formatCode="&quot;$&quot;#,##0.00_);\(&quot;$&quot;#,##0.00\)">
                  <c:v>11385.542116745675</c:v>
                </c:pt>
                <c:pt idx="27" formatCode="&quot;$&quot;#,##0.00_);\(&quot;$&quot;#,##0.00\)">
                  <c:v>11692.951753897807</c:v>
                </c:pt>
                <c:pt idx="28" formatCode="&quot;$&quot;#,##0.00_);\(&quot;$&quot;#,##0.00\)">
                  <c:v>12008.661451253047</c:v>
                </c:pt>
                <c:pt idx="29" formatCode="&quot;$&quot;#,##0.00_);\(&quot;$&quot;#,##0.00\)">
                  <c:v>12332.895310436877</c:v>
                </c:pt>
              </c:numCache>
            </c:numRef>
          </c:cat>
          <c:val>
            <c:numRef>
              <c:f>'Non Factor D Back Up'!$B$10:$P$10</c:f>
              <c:numCache>
                <c:formatCode>"$"#,##0.00_);\("$"#,##0.00\)</c:formatCode>
                <c:ptCount val="15"/>
                <c:pt idx="0">
                  <c:v>46844.959999999999</c:v>
                </c:pt>
                <c:pt idx="1">
                  <c:v>38281.78</c:v>
                </c:pt>
                <c:pt idx="2">
                  <c:v>1660284.97</c:v>
                </c:pt>
                <c:pt idx="3" formatCode="_(&quot;$&quot;* #,##0.00_);_(&quot;$&quot;* \(#,##0.00\);_(&quot;$&quot;* &quot;-&quot;??_);_(@_)">
                  <c:v>36990.32</c:v>
                </c:pt>
                <c:pt idx="4" formatCode="_(&quot;$&quot;* #,##0.00_);_(&quot;$&quot;* \(#,##0.00\);_(&quot;$&quot;* &quot;-&quot;??_);_(@_)">
                  <c:v>34663.89</c:v>
                </c:pt>
                <c:pt idx="5" formatCode="_(&quot;$&quot;* #,##0.00_);_(&quot;$&quot;* \(#,##0.00\);_(&quot;$&quot;* &quot;-&quot;??_);_(@_)">
                  <c:v>12201.09</c:v>
                </c:pt>
                <c:pt idx="6" formatCode="_(&quot;$&quot;* #,##0.00_);_(&quot;$&quot;* \(#,##0.00\);_(&quot;$&quot;* &quot;-&quot;??_);_(@_)">
                  <c:v>9918.49</c:v>
                </c:pt>
                <c:pt idx="7" formatCode="_(&quot;$&quot;* #,##0.00_);_(&quot;$&quot;* \(#,##0.00\);_(&quot;$&quot;* &quot;-&quot;??_);_(@_)">
                  <c:v>13362.7</c:v>
                </c:pt>
                <c:pt idx="8" formatCode="_(&quot;$&quot;* #,##0.00_);_(&quot;$&quot;* \(#,##0.00\);_(&quot;$&quot;* &quot;-&quot;??_);_(@_)">
                  <c:v>10400.98</c:v>
                </c:pt>
                <c:pt idx="9">
                  <c:v>10681.806459999998</c:v>
                </c:pt>
                <c:pt idx="10">
                  <c:v>10970.215234419997</c:v>
                </c:pt>
                <c:pt idx="11">
                  <c:v>11266.411045749335</c:v>
                </c:pt>
                <c:pt idx="12">
                  <c:v>11570.604143984567</c:v>
                </c:pt>
                <c:pt idx="13">
                  <c:v>11883.010455872149</c:v>
                </c:pt>
                <c:pt idx="14">
                  <c:v>12203.851738180696</c:v>
                </c:pt>
              </c:numCache>
            </c:numRef>
          </c:val>
          <c:smooth val="0"/>
        </c:ser>
        <c:dLbls>
          <c:showLegendKey val="0"/>
          <c:showVal val="0"/>
          <c:showCatName val="0"/>
          <c:showSerName val="0"/>
          <c:showPercent val="0"/>
          <c:showBubbleSize val="0"/>
        </c:dLbls>
        <c:marker val="1"/>
        <c:smooth val="0"/>
        <c:axId val="133113728"/>
        <c:axId val="133120000"/>
      </c:lineChart>
      <c:catAx>
        <c:axId val="133113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Waiver Year</a:t>
                </a:r>
              </a:p>
            </c:rich>
          </c:tx>
          <c:layout>
            <c:manualLayout>
              <c:xMode val="edge"/>
              <c:yMode val="edge"/>
              <c:x val="0.44950055493895702"/>
              <c:y val="0.944535073409462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120000"/>
        <c:crosses val="autoZero"/>
        <c:auto val="1"/>
        <c:lblAlgn val="ctr"/>
        <c:lblOffset val="100"/>
        <c:tickLblSkip val="1"/>
        <c:tickMarkSkip val="1"/>
        <c:noMultiLvlLbl val="0"/>
      </c:catAx>
      <c:valAx>
        <c:axId val="133120000"/>
        <c:scaling>
          <c:orientation val="minMax"/>
        </c:scaling>
        <c:delete val="0"/>
        <c:axPos val="l"/>
        <c:majorGridlines>
          <c:spPr>
            <a:ln w="3175">
              <a:solidFill>
                <a:srgbClr val="000000"/>
              </a:solidFill>
              <a:prstDash val="solid"/>
            </a:ln>
          </c:spPr>
        </c:majorGridlines>
        <c:numFmt formatCode="&quot;$&quot;#,##0.00_);\(&quot;$&quot;#,##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113728"/>
        <c:crosses val="autoZero"/>
        <c:crossBetween val="between"/>
      </c:valAx>
      <c:spPr>
        <a:solidFill>
          <a:srgbClr val="C0C0C0"/>
        </a:solidFill>
        <a:ln w="12700">
          <a:solidFill>
            <a:srgbClr val="808080"/>
          </a:solidFill>
          <a:prstDash val="solid"/>
        </a:ln>
      </c:spPr>
    </c:plotArea>
    <c:legend>
      <c:legendPos val="r"/>
      <c:layout>
        <c:manualLayout>
          <c:xMode val="edge"/>
          <c:yMode val="edge"/>
          <c:x val="0.89456159822419501"/>
          <c:y val="0.47308319738989668"/>
          <c:w val="9.9940864772591689E-2"/>
          <c:h val="7.037374814281979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chartsheets/sheet1.xml><?xml version="1.0" encoding="utf-8"?>
<chartsheet xmlns="http://schemas.openxmlformats.org/spreadsheetml/2006/main" xmlns:r="http://schemas.openxmlformats.org/officeDocument/2006/relationships">
  <sheetPr>
    <tabColor rgb="FF92D050"/>
  </sheetPr>
  <sheetViews>
    <sheetView workbookViewId="0"/>
  </sheetViews>
  <customSheetViews>
    <customSheetView guid="{B6305DA3-A032-4F38-BA31-37F5B3FAC8B9}">
      <pageMargins left="0.75" right="0.75" top="1" bottom="1" header="0.5" footer="0.5"/>
      <pageSetup orientation="landscape" horizontalDpi="200" verticalDpi="200"/>
      <headerFooter alignWithMargins="0"/>
    </customSheetView>
    <customSheetView guid="{BE213145-94B6-4D67-83E8-F1C2631C8B17}">
      <pageMargins left="0.75" right="0.75" top="1" bottom="1" header="0.5" footer="0.5"/>
      <pageSetup orientation="landscape" horizontalDpi="200" verticalDpi="200"/>
      <headerFooter alignWithMargins="0"/>
    </customSheetView>
  </customSheetViews>
  <pageMargins left="0.75" right="0.75" top="1" bottom="1" header="0.5" footer="0.5"/>
  <pageSetup orientation="landscape" horizontalDpi="200" verticalDpi="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1333500"/>
    <xdr:ext cx="7955280" cy="5029200"/>
    <xdr:graphicFrame macro="">
      <xdr:nvGraphicFramePr>
        <xdr:cNvPr id="2" name="Shape"/>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74024" cy="5830824"/>
    <xdr:graphicFrame macro="">
      <xdr:nvGraphicFramePr>
        <xdr:cNvPr id="2" name="Shape"/>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300802</xdr:colOff>
      <xdr:row>52</xdr:row>
      <xdr:rowOff>94001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2000002" cy="10000001"/>
        </a:xfrm>
        <a:prstGeom prst="rect">
          <a:avLst/>
        </a:prstGeom>
      </xdr:spPr>
    </xdr:pic>
    <xdr:clientData/>
  </xdr:twoCellAnchor>
</xdr:wsDr>
</file>

<file path=xl/tables/table1.xml><?xml version="1.0" encoding="utf-8"?>
<table xmlns="http://schemas.openxmlformats.org/spreadsheetml/2006/main" id="1" name="Table1" displayName="Table1" ref="A1:J155" totalsRowShown="0" headerRowDxfId="14" dataDxfId="12" headerRowBorderDxfId="13" tableBorderDxfId="11" totalsRowBorderDxfId="10">
  <tableColumns count="10">
    <tableColumn id="1" name="Service Description " dataDxfId="9"/>
    <tableColumn id="2" name="Procedure Codes" dataDxfId="8"/>
    <tableColumn id="3" name="Billable Unit" dataDxfId="7"/>
    <tableColumn id="8" name="Amendment effective 9/24/15 WY 3" dataDxfId="6"/>
    <tableColumn id="7" name="Amendment effective 11/20/15 WY 4" dataDxfId="5"/>
    <tableColumn id="4" name="Effective 1/1/17 WY 5" dataDxfId="4" dataCellStyle="Comma"/>
    <tableColumn id="5" name="2017 Rate Methodology Review as compared to 2017 rates" dataDxfId="3"/>
    <tableColumn id="6" name="Rate Review Decision for Public Comment" dataDxfId="2"/>
    <tableColumn id="9" name="New Unit Rate Waiver Year 1 Effective 1/1/18" dataDxfId="1" dataCellStyle="Currency">
      <calculatedColumnFormula>H2*((1+(0.15*3)))/3</calculatedColumnFormula>
    </tableColumn>
    <tableColumn id="10" name="Questions/Comment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J9"/>
  <sheetViews>
    <sheetView workbookViewId="0">
      <selection activeCell="Q22" sqref="Q22:Q23"/>
    </sheetView>
  </sheetViews>
  <sheetFormatPr defaultColWidth="8.85546875" defaultRowHeight="15" x14ac:dyDescent="0.25"/>
  <cols>
    <col min="2" max="2" width="12.5703125" bestFit="1" customWidth="1"/>
    <col min="3" max="4" width="11.85546875" bestFit="1" customWidth="1"/>
    <col min="5" max="5" width="12.5703125" bestFit="1" customWidth="1"/>
    <col min="6" max="6" width="11.5703125" bestFit="1" customWidth="1"/>
    <col min="7" max="7" width="11.85546875" bestFit="1" customWidth="1"/>
    <col min="8" max="8" width="12.42578125" bestFit="1" customWidth="1"/>
  </cols>
  <sheetData>
    <row r="1" spans="1:10" x14ac:dyDescent="0.25">
      <c r="A1" s="78" t="s">
        <v>166</v>
      </c>
      <c r="B1" s="78" t="s">
        <v>162</v>
      </c>
      <c r="C1" s="78" t="s">
        <v>168</v>
      </c>
      <c r="D1" s="78" t="s">
        <v>80</v>
      </c>
      <c r="E1" s="78" t="s">
        <v>169</v>
      </c>
      <c r="F1" s="78" t="s">
        <v>170</v>
      </c>
      <c r="G1" s="78" t="s">
        <v>81</v>
      </c>
      <c r="H1" s="78" t="s">
        <v>82</v>
      </c>
      <c r="J1" s="198"/>
    </row>
    <row r="2" spans="1:10" x14ac:dyDescent="0.25">
      <c r="A2" s="75">
        <v>1</v>
      </c>
      <c r="B2" s="286">
        <f>'Appendix J-2'!BF117</f>
        <v>106164.34626084272</v>
      </c>
      <c r="C2" s="286">
        <f>'Appendix J-2'!BF120</f>
        <v>11086.214329839997</v>
      </c>
      <c r="D2" s="76">
        <f>SUM(B2:C2)</f>
        <v>117250.56059068273</v>
      </c>
      <c r="E2" s="286">
        <f>'Appendix J-2'!BF121</f>
        <v>297167.80099999998</v>
      </c>
      <c r="F2" s="286">
        <f>'Appendix J-2'!BF122</f>
        <v>10970.215234419997</v>
      </c>
      <c r="G2" s="76">
        <f>SUM(E2:F2)</f>
        <v>308138.01623441995</v>
      </c>
      <c r="H2" s="5">
        <f>G2-D2</f>
        <v>190887.45564373722</v>
      </c>
    </row>
    <row r="3" spans="1:10" x14ac:dyDescent="0.25">
      <c r="A3" s="75">
        <v>2</v>
      </c>
      <c r="B3" s="286">
        <f>'Appendix J-2'!BK117</f>
        <v>111374.33352291082</v>
      </c>
      <c r="C3" s="286">
        <f>'Appendix J-2'!BK120</f>
        <v>11385.542116745675</v>
      </c>
      <c r="D3" s="76">
        <f t="shared" ref="D3:D6" si="0">SUM(B3:C3)</f>
        <v>122759.8756396565</v>
      </c>
      <c r="E3" s="286">
        <f>'Appendix J-2'!BK121</f>
        <v>305981.68199999997</v>
      </c>
      <c r="F3" s="286">
        <f>'Appendix J-2'!BK122</f>
        <v>11266.411045749335</v>
      </c>
      <c r="G3" s="76">
        <f t="shared" ref="G3:G6" si="1">SUM(E3:F3)</f>
        <v>317248.09304574929</v>
      </c>
      <c r="H3" s="5">
        <f t="shared" ref="H3:H6" si="2">G3-D3</f>
        <v>194488.21740609279</v>
      </c>
    </row>
    <row r="4" spans="1:10" x14ac:dyDescent="0.25">
      <c r="A4" s="75">
        <v>3</v>
      </c>
      <c r="B4" s="286">
        <f>'Appendix J-2'!BP117</f>
        <v>114999.3189644962</v>
      </c>
      <c r="C4" s="286">
        <f>'Appendix J-2'!BP120</f>
        <v>11692.951753897807</v>
      </c>
      <c r="D4" s="76">
        <f t="shared" si="0"/>
        <v>126692.27071839401</v>
      </c>
      <c r="E4" s="286">
        <f>'Appendix J-2'!BP121</f>
        <v>305981.68199999997</v>
      </c>
      <c r="F4" s="286">
        <f>'Appendix J-2'!BP122</f>
        <v>11570.604143984567</v>
      </c>
      <c r="G4" s="76">
        <f t="shared" si="1"/>
        <v>317552.28614398453</v>
      </c>
      <c r="H4" s="5">
        <f t="shared" si="2"/>
        <v>190860.01542559051</v>
      </c>
    </row>
    <row r="5" spans="1:10" x14ac:dyDescent="0.25">
      <c r="A5" s="75">
        <v>4</v>
      </c>
      <c r="B5" s="286">
        <f>'Appendix J-2'!BU117</f>
        <v>119508.92291723013</v>
      </c>
      <c r="C5" s="286">
        <f>'Appendix J-2'!BU120</f>
        <v>12008.661451253047</v>
      </c>
      <c r="D5" s="76">
        <f t="shared" si="0"/>
        <v>131517.58436848316</v>
      </c>
      <c r="E5" s="286">
        <f>'Appendix J-2'!BU121</f>
        <v>323609.44399999996</v>
      </c>
      <c r="F5" s="286">
        <f>'Appendix J-2'!BU122</f>
        <v>11883.010455872149</v>
      </c>
      <c r="G5" s="76">
        <f t="shared" si="1"/>
        <v>335492.45445587212</v>
      </c>
      <c r="H5" s="5">
        <f t="shared" si="2"/>
        <v>203974.87008738896</v>
      </c>
    </row>
    <row r="6" spans="1:10" x14ac:dyDescent="0.25">
      <c r="A6" s="75">
        <v>5</v>
      </c>
      <c r="B6" s="286">
        <f>'Appendix J-2'!BZ117</f>
        <v>125210.2009368073</v>
      </c>
      <c r="C6" s="286">
        <f>'Appendix J-2'!BZ120</f>
        <v>12332.895310436877</v>
      </c>
      <c r="D6" s="76">
        <f t="shared" si="0"/>
        <v>137543.09624724419</v>
      </c>
      <c r="E6" s="286">
        <f>'Appendix J-2'!BZ121</f>
        <v>332423.32499999995</v>
      </c>
      <c r="F6" s="286">
        <f>'Appendix J-2'!BZ122</f>
        <v>12203.851738180696</v>
      </c>
      <c r="G6" s="76">
        <f t="shared" si="1"/>
        <v>344627.17673818063</v>
      </c>
      <c r="H6" s="5">
        <f t="shared" si="2"/>
        <v>207084.08049093644</v>
      </c>
    </row>
    <row r="7" spans="1:10" x14ac:dyDescent="0.25">
      <c r="A7" s="195"/>
      <c r="B7" s="196"/>
      <c r="C7" s="196"/>
      <c r="D7" s="196"/>
      <c r="E7" s="196"/>
      <c r="F7" s="196"/>
      <c r="G7" s="196"/>
      <c r="H7" s="197"/>
    </row>
    <row r="8" spans="1:10" x14ac:dyDescent="0.25">
      <c r="A8" s="195"/>
      <c r="B8" s="196"/>
      <c r="C8" s="196"/>
      <c r="D8" s="196"/>
      <c r="E8" s="196"/>
      <c r="F8" s="196"/>
      <c r="G8" s="196"/>
      <c r="H8" s="197"/>
    </row>
    <row r="9" spans="1:10" x14ac:dyDescent="0.25">
      <c r="A9" s="195"/>
      <c r="B9" s="196"/>
      <c r="C9" s="196"/>
      <c r="D9" s="196"/>
      <c r="E9" s="196"/>
      <c r="F9" s="196"/>
      <c r="G9" s="196"/>
      <c r="H9" s="197"/>
    </row>
  </sheetData>
  <customSheetViews>
    <customSheetView guid="{B6305DA3-A032-4F38-BA31-37F5B3FAC8B9}" fitToPage="1">
      <selection activeCell="G41" sqref="G41"/>
      <pageMargins left="0.7" right="0.7" top="0.75" bottom="0.75" header="0.3" footer="0.3"/>
      <headerFooter>
        <oddHeader>&amp;L&amp;"-,Bold"Department of Health Care Finance
Appendix J-1</oddHeader>
      </headerFooter>
    </customSheetView>
    <customSheetView guid="{BE213145-94B6-4D67-83E8-F1C2631C8B17}" fitToPage="1">
      <selection activeCell="G41" sqref="G41"/>
      <pageMargins left="0.7" right="0.7" top="0.75" bottom="0.75" header="0.3" footer="0.3"/>
      <headerFooter>
        <oddHeader>&amp;L&amp;"-,Bold"Department of Health Care Finance
Appendix J-1</oddHeader>
      </headerFooter>
    </customSheetView>
  </customSheetViews>
  <pageMargins left="0.7" right="0.7" top="0.75" bottom="0.75" header="0.3" footer="0.3"/>
  <pageSetup scale="81" orientation="portrait" verticalDpi="0" r:id="rId1"/>
  <headerFooter>
    <oddHeader>&amp;L&amp;"-,Bold"Department of Health Care Finance
Appendix J-1</oddHeader>
  </headerFooter>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workbookViewId="0">
      <pane ySplit="1" topLeftCell="A99" activePane="bottomLeft" state="frozen"/>
      <selection pane="bottomLeft" activeCell="A2" sqref="A2:XFD108"/>
    </sheetView>
  </sheetViews>
  <sheetFormatPr defaultRowHeight="15" x14ac:dyDescent="0.25"/>
  <cols>
    <col min="1" max="1" width="23.7109375" style="440" customWidth="1"/>
    <col min="2" max="2" width="28" style="408" customWidth="1"/>
    <col min="3" max="3" width="18.7109375" style="408" customWidth="1"/>
    <col min="4" max="4" width="15.28515625" style="408" customWidth="1"/>
    <col min="5" max="5" width="34.7109375" style="408" customWidth="1"/>
    <col min="6" max="6" width="14.140625" style="408" customWidth="1"/>
    <col min="7" max="7" width="56.140625" customWidth="1"/>
    <col min="8" max="8" width="60.7109375" customWidth="1"/>
  </cols>
  <sheetData>
    <row r="1" spans="1:8" x14ac:dyDescent="0.25">
      <c r="A1" s="435" t="s">
        <v>624</v>
      </c>
      <c r="B1" s="429" t="s">
        <v>625</v>
      </c>
      <c r="C1" s="429" t="s">
        <v>626</v>
      </c>
      <c r="D1" s="429" t="s">
        <v>627</v>
      </c>
      <c r="E1" s="429" t="s">
        <v>630</v>
      </c>
      <c r="F1" s="429" t="s">
        <v>628</v>
      </c>
      <c r="G1" s="35" t="s">
        <v>604</v>
      </c>
      <c r="H1" s="35" t="s">
        <v>629</v>
      </c>
    </row>
    <row r="2" spans="1:8" ht="60" customHeight="1" x14ac:dyDescent="0.25">
      <c r="A2" s="436" t="s">
        <v>332</v>
      </c>
      <c r="B2" s="430"/>
      <c r="C2" s="430"/>
      <c r="D2" s="430"/>
      <c r="E2" s="430"/>
      <c r="F2" s="430"/>
      <c r="G2" s="79"/>
      <c r="H2" s="79"/>
    </row>
    <row r="3" spans="1:8" ht="60" customHeight="1" x14ac:dyDescent="0.25">
      <c r="A3" s="436" t="s">
        <v>21</v>
      </c>
      <c r="B3" s="430"/>
      <c r="C3" s="430" t="s">
        <v>202</v>
      </c>
      <c r="D3" s="430" t="s">
        <v>41</v>
      </c>
      <c r="E3" s="430"/>
      <c r="F3" s="430"/>
      <c r="G3" s="79"/>
      <c r="H3" s="79"/>
    </row>
    <row r="4" spans="1:8" ht="60" customHeight="1" x14ac:dyDescent="0.25">
      <c r="A4" s="436" t="s">
        <v>333</v>
      </c>
      <c r="B4" s="430"/>
      <c r="C4" s="430"/>
      <c r="D4" s="430"/>
      <c r="E4" s="430"/>
      <c r="F4" s="430"/>
      <c r="G4" s="79"/>
      <c r="H4" s="79"/>
    </row>
    <row r="5" spans="1:8" ht="60" customHeight="1" x14ac:dyDescent="0.25">
      <c r="A5" s="436" t="s">
        <v>351</v>
      </c>
      <c r="B5" s="430"/>
      <c r="C5" s="430" t="s">
        <v>202</v>
      </c>
      <c r="D5" s="430" t="s">
        <v>41</v>
      </c>
      <c r="E5" s="430"/>
      <c r="F5" s="430"/>
      <c r="G5" s="79"/>
      <c r="H5" s="79"/>
    </row>
    <row r="6" spans="1:8" ht="60" customHeight="1" x14ac:dyDescent="0.25">
      <c r="A6" s="436" t="s">
        <v>24</v>
      </c>
      <c r="B6" s="430"/>
      <c r="C6" s="430" t="s">
        <v>202</v>
      </c>
      <c r="D6" s="430" t="s">
        <v>41</v>
      </c>
      <c r="E6" s="430"/>
      <c r="F6" s="430"/>
      <c r="G6" s="79"/>
      <c r="H6" s="79"/>
    </row>
    <row r="7" spans="1:8" ht="60" customHeight="1" x14ac:dyDescent="0.25">
      <c r="A7" s="436" t="s">
        <v>265</v>
      </c>
      <c r="B7" s="430"/>
      <c r="C7" s="430"/>
      <c r="D7" s="430" t="s">
        <v>562</v>
      </c>
      <c r="E7" s="430"/>
      <c r="F7" s="430"/>
      <c r="G7" s="79"/>
      <c r="H7" s="79"/>
    </row>
    <row r="8" spans="1:8" ht="60" customHeight="1" x14ac:dyDescent="0.25">
      <c r="A8" s="436" t="s">
        <v>323</v>
      </c>
      <c r="B8" s="430"/>
      <c r="C8" s="430" t="s">
        <v>131</v>
      </c>
      <c r="D8" s="430" t="s">
        <v>153</v>
      </c>
      <c r="E8" s="430"/>
      <c r="F8" s="430"/>
      <c r="G8" s="79"/>
      <c r="H8" s="79"/>
    </row>
    <row r="9" spans="1:8" ht="60" customHeight="1" x14ac:dyDescent="0.25">
      <c r="A9" s="436" t="s">
        <v>285</v>
      </c>
      <c r="B9" s="430"/>
      <c r="C9" s="430" t="s">
        <v>129</v>
      </c>
      <c r="D9" s="430" t="s">
        <v>152</v>
      </c>
      <c r="E9" s="430"/>
      <c r="F9" s="430"/>
      <c r="G9" s="79"/>
      <c r="H9" s="79"/>
    </row>
    <row r="10" spans="1:8" ht="60" customHeight="1" x14ac:dyDescent="0.25">
      <c r="A10" s="436" t="s">
        <v>284</v>
      </c>
      <c r="B10" s="430"/>
      <c r="C10" s="430" t="s">
        <v>129</v>
      </c>
      <c r="D10" s="430" t="s">
        <v>152</v>
      </c>
      <c r="E10" s="430"/>
      <c r="F10" s="430"/>
      <c r="G10" s="79"/>
      <c r="H10" s="79"/>
    </row>
    <row r="11" spans="1:8" ht="60" customHeight="1" x14ac:dyDescent="0.25">
      <c r="A11" s="436" t="s">
        <v>283</v>
      </c>
      <c r="B11" s="430"/>
      <c r="C11" s="430" t="s">
        <v>129</v>
      </c>
      <c r="D11" s="430" t="s">
        <v>152</v>
      </c>
      <c r="E11" s="430"/>
      <c r="F11" s="430"/>
      <c r="G11" s="79"/>
      <c r="H11" s="79"/>
    </row>
    <row r="12" spans="1:8" ht="60" customHeight="1" x14ac:dyDescent="0.25">
      <c r="A12" s="436" t="s">
        <v>336</v>
      </c>
      <c r="B12" s="430"/>
      <c r="C12" s="430"/>
      <c r="D12" s="430"/>
      <c r="E12" s="430"/>
      <c r="F12" s="430"/>
      <c r="G12" s="79"/>
      <c r="H12" s="79"/>
    </row>
    <row r="13" spans="1:8" ht="60" customHeight="1" x14ac:dyDescent="0.25">
      <c r="A13" s="436" t="s">
        <v>1</v>
      </c>
      <c r="B13" s="430"/>
      <c r="C13" s="430"/>
      <c r="D13" s="430" t="s">
        <v>152</v>
      </c>
      <c r="E13" s="430"/>
      <c r="F13" s="430"/>
      <c r="G13" s="79"/>
      <c r="H13" s="79"/>
    </row>
    <row r="14" spans="1:8" ht="60" customHeight="1" x14ac:dyDescent="0.25">
      <c r="A14" s="436" t="s">
        <v>2</v>
      </c>
      <c r="B14" s="430"/>
      <c r="C14" s="430"/>
      <c r="D14" s="430" t="s">
        <v>152</v>
      </c>
      <c r="E14" s="430"/>
      <c r="F14" s="430"/>
      <c r="G14" s="79"/>
      <c r="H14" s="79"/>
    </row>
    <row r="15" spans="1:8" ht="60" customHeight="1" x14ac:dyDescent="0.25">
      <c r="A15" s="436" t="s">
        <v>344</v>
      </c>
      <c r="B15" s="430"/>
      <c r="C15" s="430"/>
      <c r="D15" s="430" t="s">
        <v>152</v>
      </c>
      <c r="E15" s="430"/>
      <c r="F15" s="430"/>
      <c r="G15" s="79"/>
      <c r="H15" s="79"/>
    </row>
    <row r="16" spans="1:8" ht="60" customHeight="1" x14ac:dyDescent="0.25">
      <c r="A16" s="436" t="s">
        <v>345</v>
      </c>
      <c r="B16" s="430"/>
      <c r="C16" s="430"/>
      <c r="D16" s="430" t="s">
        <v>135</v>
      </c>
      <c r="E16" s="430"/>
      <c r="F16" s="430"/>
      <c r="G16" s="79"/>
      <c r="H16" s="79"/>
    </row>
    <row r="17" spans="1:8" ht="60" customHeight="1" x14ac:dyDescent="0.25">
      <c r="A17" s="436" t="s">
        <v>346</v>
      </c>
      <c r="B17" s="430"/>
      <c r="C17" s="430"/>
      <c r="D17" s="430" t="s">
        <v>152</v>
      </c>
      <c r="E17" s="430"/>
      <c r="F17" s="430"/>
      <c r="G17" s="79"/>
      <c r="H17" s="79"/>
    </row>
    <row r="18" spans="1:8" ht="60" customHeight="1" x14ac:dyDescent="0.25">
      <c r="A18" s="436" t="s">
        <v>353</v>
      </c>
      <c r="B18" s="430"/>
      <c r="C18" s="430" t="s">
        <v>138</v>
      </c>
      <c r="D18" s="430" t="s">
        <v>152</v>
      </c>
      <c r="E18" s="430"/>
      <c r="F18" s="430"/>
      <c r="G18" s="79"/>
      <c r="H18" s="79"/>
    </row>
    <row r="19" spans="1:8" ht="60" customHeight="1" x14ac:dyDescent="0.25">
      <c r="A19" s="436" t="s">
        <v>352</v>
      </c>
      <c r="B19" s="430"/>
      <c r="C19" s="430" t="s">
        <v>138</v>
      </c>
      <c r="D19" s="430" t="s">
        <v>152</v>
      </c>
      <c r="E19" s="430"/>
      <c r="F19" s="430"/>
      <c r="G19" s="79"/>
      <c r="H19" s="79"/>
    </row>
    <row r="20" spans="1:8" ht="60" customHeight="1" x14ac:dyDescent="0.25">
      <c r="A20" s="436" t="s">
        <v>347</v>
      </c>
      <c r="B20" s="430"/>
      <c r="C20" s="430" t="s">
        <v>138</v>
      </c>
      <c r="D20" s="430" t="s">
        <v>152</v>
      </c>
      <c r="E20" s="430"/>
      <c r="F20" s="430"/>
      <c r="G20" s="79"/>
      <c r="H20" s="79"/>
    </row>
    <row r="21" spans="1:8" ht="60" customHeight="1" x14ac:dyDescent="0.25">
      <c r="A21" s="436" t="s">
        <v>545</v>
      </c>
      <c r="B21" s="430"/>
      <c r="C21" s="430"/>
      <c r="D21" s="430" t="s">
        <v>135</v>
      </c>
      <c r="E21" s="430"/>
      <c r="F21" s="430"/>
      <c r="G21" s="79"/>
      <c r="H21" s="79"/>
    </row>
    <row r="22" spans="1:8" ht="60" customHeight="1" x14ac:dyDescent="0.25">
      <c r="A22" s="436" t="s">
        <v>546</v>
      </c>
      <c r="B22" s="430"/>
      <c r="C22" s="430"/>
      <c r="D22" s="430" t="s">
        <v>135</v>
      </c>
      <c r="E22" s="430"/>
      <c r="F22" s="430"/>
      <c r="G22" s="79"/>
      <c r="H22" s="79"/>
    </row>
    <row r="23" spans="1:8" ht="60" customHeight="1" x14ac:dyDescent="0.25">
      <c r="A23" s="436" t="s">
        <v>547</v>
      </c>
      <c r="B23" s="430"/>
      <c r="C23" s="430"/>
      <c r="D23" s="430" t="s">
        <v>135</v>
      </c>
      <c r="E23" s="430"/>
      <c r="F23" s="430"/>
      <c r="G23" s="79"/>
      <c r="H23" s="79"/>
    </row>
    <row r="24" spans="1:8" ht="60" customHeight="1" x14ac:dyDescent="0.25">
      <c r="A24" s="436" t="s">
        <v>548</v>
      </c>
      <c r="B24" s="430"/>
      <c r="C24" s="430"/>
      <c r="D24" s="430" t="s">
        <v>135</v>
      </c>
      <c r="E24" s="430"/>
      <c r="F24" s="430"/>
      <c r="G24" s="79"/>
      <c r="H24" s="79"/>
    </row>
    <row r="25" spans="1:8" ht="60" customHeight="1" x14ac:dyDescent="0.25">
      <c r="A25" s="436" t="s">
        <v>139</v>
      </c>
      <c r="B25" s="430"/>
      <c r="C25" s="430" t="s">
        <v>184</v>
      </c>
      <c r="D25" s="430"/>
      <c r="E25" s="430"/>
      <c r="F25" s="430"/>
      <c r="G25" s="79"/>
      <c r="H25" s="79"/>
    </row>
    <row r="26" spans="1:8" ht="60" customHeight="1" x14ac:dyDescent="0.25">
      <c r="A26" s="436" t="s">
        <v>219</v>
      </c>
      <c r="B26" s="430"/>
      <c r="C26" s="430"/>
      <c r="D26" s="430"/>
      <c r="E26" s="430"/>
      <c r="F26" s="430"/>
      <c r="G26" s="79"/>
      <c r="H26" s="79"/>
    </row>
    <row r="27" spans="1:8" ht="60" customHeight="1" x14ac:dyDescent="0.25">
      <c r="A27" s="403" t="s">
        <v>201</v>
      </c>
      <c r="B27" s="431"/>
      <c r="C27" s="430" t="s">
        <v>184</v>
      </c>
      <c r="D27" s="430" t="s">
        <v>152</v>
      </c>
      <c r="E27" s="430"/>
      <c r="F27" s="430"/>
      <c r="G27" s="79"/>
      <c r="H27" s="79"/>
    </row>
    <row r="28" spans="1:8" ht="60" customHeight="1" x14ac:dyDescent="0.25">
      <c r="A28" s="436" t="s">
        <v>200</v>
      </c>
      <c r="B28" s="430"/>
      <c r="C28" s="430" t="s">
        <v>184</v>
      </c>
      <c r="D28" s="430" t="s">
        <v>152</v>
      </c>
      <c r="E28" s="430"/>
      <c r="F28" s="430"/>
      <c r="G28" s="79"/>
      <c r="H28" s="79"/>
    </row>
    <row r="29" spans="1:8" ht="60" customHeight="1" x14ac:dyDescent="0.25">
      <c r="A29" s="436" t="s">
        <v>264</v>
      </c>
      <c r="B29" s="430"/>
      <c r="C29" s="430" t="s">
        <v>184</v>
      </c>
      <c r="D29" s="430" t="s">
        <v>152</v>
      </c>
      <c r="E29" s="430"/>
      <c r="F29" s="430"/>
      <c r="G29" s="79"/>
      <c r="H29" s="79"/>
    </row>
    <row r="30" spans="1:8" ht="60" customHeight="1" x14ac:dyDescent="0.25">
      <c r="A30" s="436" t="s">
        <v>282</v>
      </c>
      <c r="B30" s="430"/>
      <c r="C30" s="430" t="s">
        <v>184</v>
      </c>
      <c r="D30" s="430" t="s">
        <v>135</v>
      </c>
      <c r="E30" s="430"/>
      <c r="F30" s="430"/>
      <c r="G30" s="79"/>
      <c r="H30" s="79"/>
    </row>
    <row r="31" spans="1:8" ht="60" customHeight="1" x14ac:dyDescent="0.25">
      <c r="A31" s="436" t="s">
        <v>73</v>
      </c>
      <c r="B31" s="430"/>
      <c r="C31" s="430" t="s">
        <v>184</v>
      </c>
      <c r="D31" s="430" t="s">
        <v>135</v>
      </c>
      <c r="E31" s="430"/>
      <c r="F31" s="430"/>
      <c r="G31" s="79"/>
      <c r="H31" s="79"/>
    </row>
    <row r="32" spans="1:8" ht="60" customHeight="1" x14ac:dyDescent="0.25">
      <c r="A32" s="436" t="s">
        <v>74</v>
      </c>
      <c r="B32" s="430"/>
      <c r="C32" s="430" t="s">
        <v>184</v>
      </c>
      <c r="D32" s="430" t="s">
        <v>135</v>
      </c>
      <c r="E32" s="430"/>
      <c r="F32" s="430"/>
      <c r="G32" s="79"/>
      <c r="H32" s="79"/>
    </row>
    <row r="33" spans="1:8" ht="60" customHeight="1" x14ac:dyDescent="0.25">
      <c r="A33" s="436" t="s">
        <v>281</v>
      </c>
      <c r="B33" s="430"/>
      <c r="C33" s="430" t="s">
        <v>184</v>
      </c>
      <c r="D33" s="430" t="s">
        <v>135</v>
      </c>
      <c r="E33" s="430"/>
      <c r="F33" s="430"/>
      <c r="G33" s="79"/>
      <c r="H33" s="79"/>
    </row>
    <row r="34" spans="1:8" ht="60" customHeight="1" x14ac:dyDescent="0.25">
      <c r="A34" s="436" t="s">
        <v>221</v>
      </c>
      <c r="B34" s="430"/>
      <c r="C34" s="430" t="s">
        <v>184</v>
      </c>
      <c r="D34" s="430" t="s">
        <v>152</v>
      </c>
      <c r="E34" s="430"/>
      <c r="F34" s="430"/>
      <c r="G34" s="79"/>
      <c r="H34" s="79"/>
    </row>
    <row r="35" spans="1:8" ht="60" customHeight="1" x14ac:dyDescent="0.25">
      <c r="A35" s="436" t="s">
        <v>560</v>
      </c>
      <c r="B35" s="430"/>
      <c r="C35" s="430"/>
      <c r="D35" s="430" t="s">
        <v>152</v>
      </c>
      <c r="E35" s="430"/>
      <c r="F35" s="430"/>
      <c r="G35" s="79"/>
      <c r="H35" s="79"/>
    </row>
    <row r="36" spans="1:8" ht="60" customHeight="1" x14ac:dyDescent="0.25">
      <c r="A36" s="436" t="s">
        <v>194</v>
      </c>
      <c r="B36" s="430"/>
      <c r="C36" s="430" t="s">
        <v>184</v>
      </c>
      <c r="D36" s="430" t="s">
        <v>152</v>
      </c>
      <c r="E36" s="430"/>
      <c r="F36" s="430"/>
      <c r="G36" s="79"/>
      <c r="H36" s="79"/>
    </row>
    <row r="37" spans="1:8" ht="60" customHeight="1" x14ac:dyDescent="0.25">
      <c r="A37" s="436" t="s">
        <v>28</v>
      </c>
      <c r="B37" s="430"/>
      <c r="C37" s="430" t="s">
        <v>136</v>
      </c>
      <c r="D37" s="430" t="s">
        <v>365</v>
      </c>
      <c r="E37" s="430"/>
      <c r="F37" s="430"/>
      <c r="G37" s="79"/>
      <c r="H37" s="79"/>
    </row>
    <row r="38" spans="1:8" ht="60" customHeight="1" x14ac:dyDescent="0.25">
      <c r="A38" s="436" t="s">
        <v>267</v>
      </c>
      <c r="B38" s="430"/>
      <c r="C38" s="430"/>
      <c r="D38" s="430"/>
      <c r="E38" s="430"/>
      <c r="F38" s="430"/>
      <c r="G38" s="79"/>
      <c r="H38" s="79"/>
    </row>
    <row r="39" spans="1:8" ht="60" customHeight="1" x14ac:dyDescent="0.25">
      <c r="A39" s="436" t="s">
        <v>520</v>
      </c>
      <c r="B39" s="433"/>
      <c r="C39" s="433"/>
      <c r="D39" s="430"/>
      <c r="E39" s="430"/>
      <c r="F39" s="430"/>
      <c r="G39" s="79"/>
      <c r="H39" s="79"/>
    </row>
    <row r="40" spans="1:8" ht="60" customHeight="1" x14ac:dyDescent="0.25">
      <c r="A40" s="436" t="s">
        <v>132</v>
      </c>
      <c r="B40" s="430"/>
      <c r="C40" s="430" t="s">
        <v>185</v>
      </c>
      <c r="D40" s="430" t="s">
        <v>153</v>
      </c>
      <c r="E40" s="430"/>
      <c r="F40" s="430"/>
      <c r="G40" s="79"/>
      <c r="H40" s="79"/>
    </row>
    <row r="41" spans="1:8" ht="60" customHeight="1" x14ac:dyDescent="0.25">
      <c r="A41" s="436" t="s">
        <v>133</v>
      </c>
      <c r="B41" s="430"/>
      <c r="C41" s="430" t="s">
        <v>134</v>
      </c>
      <c r="D41" s="430" t="s">
        <v>47</v>
      </c>
      <c r="E41" s="430"/>
      <c r="F41" s="430"/>
      <c r="G41" s="79"/>
      <c r="H41" s="79"/>
    </row>
    <row r="42" spans="1:8" ht="60" customHeight="1" x14ac:dyDescent="0.25">
      <c r="A42" s="436" t="s">
        <v>149</v>
      </c>
      <c r="B42" s="430"/>
      <c r="C42" s="430" t="s">
        <v>184</v>
      </c>
      <c r="D42" s="430" t="s">
        <v>152</v>
      </c>
      <c r="E42" s="430"/>
      <c r="F42" s="430"/>
      <c r="G42" s="79"/>
      <c r="H42" s="79"/>
    </row>
    <row r="43" spans="1:8" ht="60" customHeight="1" x14ac:dyDescent="0.25">
      <c r="A43" s="436" t="s">
        <v>195</v>
      </c>
      <c r="B43" s="430"/>
      <c r="C43" s="430" t="s">
        <v>184</v>
      </c>
      <c r="D43" s="430" t="s">
        <v>152</v>
      </c>
      <c r="E43" s="430"/>
      <c r="F43" s="430"/>
      <c r="G43" s="79"/>
      <c r="H43" s="79"/>
    </row>
    <row r="44" spans="1:8" ht="60" customHeight="1" x14ac:dyDescent="0.25">
      <c r="A44" s="436" t="s">
        <v>15</v>
      </c>
      <c r="B44" s="430"/>
      <c r="C44" s="430"/>
      <c r="D44" s="430" t="s">
        <v>152</v>
      </c>
      <c r="E44" s="430"/>
      <c r="F44" s="430"/>
      <c r="G44" s="79"/>
      <c r="H44" s="79"/>
    </row>
    <row r="45" spans="1:8" ht="60" customHeight="1" x14ac:dyDescent="0.25">
      <c r="A45" s="436" t="s">
        <v>339</v>
      </c>
      <c r="B45" s="430"/>
      <c r="C45" s="430" t="s">
        <v>202</v>
      </c>
      <c r="D45" s="430" t="s">
        <v>41</v>
      </c>
      <c r="E45" s="430"/>
      <c r="F45" s="430"/>
      <c r="G45" s="79"/>
      <c r="H45" s="79"/>
    </row>
    <row r="46" spans="1:8" ht="60" customHeight="1" x14ac:dyDescent="0.25">
      <c r="A46" s="436" t="s">
        <v>291</v>
      </c>
      <c r="B46" s="430"/>
      <c r="C46" s="430" t="s">
        <v>138</v>
      </c>
      <c r="D46" s="430" t="s">
        <v>135</v>
      </c>
      <c r="E46" s="430"/>
      <c r="F46" s="430"/>
      <c r="G46" s="79"/>
      <c r="H46" s="79"/>
    </row>
    <row r="47" spans="1:8" ht="60" customHeight="1" x14ac:dyDescent="0.25">
      <c r="A47" s="436" t="s">
        <v>286</v>
      </c>
      <c r="B47" s="430"/>
      <c r="C47" s="430" t="s">
        <v>138</v>
      </c>
      <c r="D47" s="430" t="s">
        <v>135</v>
      </c>
      <c r="E47" s="430"/>
      <c r="F47" s="430"/>
      <c r="G47" s="79"/>
      <c r="H47" s="79"/>
    </row>
    <row r="48" spans="1:8" ht="60" customHeight="1" x14ac:dyDescent="0.25">
      <c r="A48" s="436" t="s">
        <v>295</v>
      </c>
      <c r="B48" s="430"/>
      <c r="C48" s="430" t="s">
        <v>138</v>
      </c>
      <c r="D48" s="430" t="s">
        <v>135</v>
      </c>
      <c r="E48" s="430"/>
      <c r="F48" s="430"/>
      <c r="G48" s="79"/>
      <c r="H48" s="79"/>
    </row>
    <row r="49" spans="1:8" ht="60" customHeight="1" x14ac:dyDescent="0.25">
      <c r="A49" s="436" t="s">
        <v>293</v>
      </c>
      <c r="B49" s="430"/>
      <c r="C49" s="430" t="s">
        <v>138</v>
      </c>
      <c r="D49" s="430" t="s">
        <v>135</v>
      </c>
      <c r="E49" s="430"/>
      <c r="F49" s="430"/>
      <c r="G49" s="79"/>
      <c r="H49" s="79"/>
    </row>
    <row r="50" spans="1:8" ht="60" customHeight="1" x14ac:dyDescent="0.25">
      <c r="A50" s="436" t="s">
        <v>292</v>
      </c>
      <c r="B50" s="430"/>
      <c r="C50" s="430" t="s">
        <v>138</v>
      </c>
      <c r="D50" s="430" t="s">
        <v>135</v>
      </c>
      <c r="E50" s="430"/>
      <c r="F50" s="430"/>
      <c r="G50" s="79"/>
      <c r="H50" s="79"/>
    </row>
    <row r="51" spans="1:8" ht="60" customHeight="1" x14ac:dyDescent="0.25">
      <c r="A51" s="436" t="s">
        <v>294</v>
      </c>
      <c r="B51" s="430"/>
      <c r="C51" s="430" t="s">
        <v>138</v>
      </c>
      <c r="D51" s="430" t="s">
        <v>135</v>
      </c>
      <c r="E51" s="430"/>
      <c r="F51" s="430"/>
      <c r="G51" s="79"/>
      <c r="H51" s="79"/>
    </row>
    <row r="52" spans="1:8" ht="60" customHeight="1" x14ac:dyDescent="0.25">
      <c r="A52" s="436" t="s">
        <v>290</v>
      </c>
      <c r="B52" s="430"/>
      <c r="C52" s="430" t="s">
        <v>138</v>
      </c>
      <c r="D52" s="430" t="s">
        <v>135</v>
      </c>
      <c r="E52" s="430"/>
      <c r="F52" s="430"/>
      <c r="G52" s="79"/>
      <c r="H52" s="79"/>
    </row>
    <row r="53" spans="1:8" ht="60" customHeight="1" x14ac:dyDescent="0.25">
      <c r="A53" s="436" t="s">
        <v>288</v>
      </c>
      <c r="B53" s="430"/>
      <c r="C53" s="430" t="s">
        <v>138</v>
      </c>
      <c r="D53" s="430" t="s">
        <v>135</v>
      </c>
      <c r="E53" s="430"/>
      <c r="F53" s="430"/>
      <c r="G53" s="79"/>
      <c r="H53" s="79"/>
    </row>
    <row r="54" spans="1:8" ht="60" customHeight="1" x14ac:dyDescent="0.25">
      <c r="A54" s="436" t="s">
        <v>287</v>
      </c>
      <c r="B54" s="430"/>
      <c r="C54" s="430" t="s">
        <v>138</v>
      </c>
      <c r="D54" s="430" t="s">
        <v>135</v>
      </c>
      <c r="E54" s="430"/>
      <c r="F54" s="430"/>
      <c r="G54" s="79"/>
      <c r="H54" s="79"/>
    </row>
    <row r="55" spans="1:8" ht="60" customHeight="1" x14ac:dyDescent="0.25">
      <c r="A55" s="436" t="s">
        <v>289</v>
      </c>
      <c r="B55" s="430"/>
      <c r="C55" s="430" t="s">
        <v>138</v>
      </c>
      <c r="D55" s="430" t="s">
        <v>135</v>
      </c>
      <c r="E55" s="430"/>
      <c r="F55" s="430"/>
      <c r="G55" s="79"/>
      <c r="H55" s="79"/>
    </row>
    <row r="56" spans="1:8" ht="60" customHeight="1" x14ac:dyDescent="0.25">
      <c r="A56" s="436" t="s">
        <v>329</v>
      </c>
      <c r="B56" s="430"/>
      <c r="C56" s="430" t="s">
        <v>184</v>
      </c>
      <c r="D56" s="430" t="s">
        <v>135</v>
      </c>
      <c r="E56" s="430"/>
      <c r="F56" s="430"/>
      <c r="G56" s="79"/>
      <c r="H56" s="79"/>
    </row>
    <row r="57" spans="1:8" ht="60" customHeight="1" x14ac:dyDescent="0.25">
      <c r="A57" s="436" t="s">
        <v>328</v>
      </c>
      <c r="B57" s="430"/>
      <c r="C57" s="430" t="s">
        <v>184</v>
      </c>
      <c r="D57" s="430" t="s">
        <v>152</v>
      </c>
      <c r="E57" s="430"/>
      <c r="F57" s="430"/>
      <c r="G57" s="79"/>
      <c r="H57" s="79"/>
    </row>
    <row r="58" spans="1:8" ht="60" customHeight="1" x14ac:dyDescent="0.25">
      <c r="A58" s="436" t="s">
        <v>364</v>
      </c>
      <c r="B58" s="430"/>
      <c r="C58" s="430" t="s">
        <v>184</v>
      </c>
      <c r="D58" s="430" t="s">
        <v>152</v>
      </c>
      <c r="E58" s="430"/>
      <c r="F58" s="430"/>
      <c r="G58" s="79"/>
      <c r="H58" s="79"/>
    </row>
    <row r="59" spans="1:8" ht="60" customHeight="1" x14ac:dyDescent="0.25">
      <c r="A59" s="436" t="s">
        <v>363</v>
      </c>
      <c r="B59" s="430"/>
      <c r="C59" s="430" t="s">
        <v>184</v>
      </c>
      <c r="D59" s="430" t="s">
        <v>152</v>
      </c>
      <c r="E59" s="430"/>
      <c r="F59" s="430"/>
      <c r="G59" s="79"/>
      <c r="H59" s="79"/>
    </row>
    <row r="60" spans="1:8" ht="60" customHeight="1" x14ac:dyDescent="0.25">
      <c r="A60" s="436" t="s">
        <v>559</v>
      </c>
      <c r="B60" s="430"/>
      <c r="C60" s="430"/>
      <c r="D60" s="430"/>
      <c r="E60" s="430"/>
      <c r="F60" s="430"/>
      <c r="G60" s="79"/>
      <c r="H60" s="79"/>
    </row>
    <row r="61" spans="1:8" ht="60" customHeight="1" x14ac:dyDescent="0.25">
      <c r="A61" s="436" t="s">
        <v>366</v>
      </c>
      <c r="B61" s="430"/>
      <c r="C61" s="430" t="s">
        <v>184</v>
      </c>
      <c r="D61" s="430" t="s">
        <v>184</v>
      </c>
      <c r="E61" s="430"/>
      <c r="F61" s="430"/>
      <c r="G61" s="79"/>
      <c r="H61" s="79"/>
    </row>
    <row r="62" spans="1:8" ht="60" customHeight="1" x14ac:dyDescent="0.25">
      <c r="A62" s="436" t="s">
        <v>502</v>
      </c>
      <c r="B62" s="430"/>
      <c r="C62" s="430" t="s">
        <v>184</v>
      </c>
      <c r="D62" s="430" t="s">
        <v>152</v>
      </c>
      <c r="E62" s="430"/>
      <c r="F62" s="430"/>
      <c r="G62" s="79"/>
      <c r="H62" s="79"/>
    </row>
    <row r="63" spans="1:8" ht="60" customHeight="1" x14ac:dyDescent="0.25">
      <c r="A63" s="436" t="s">
        <v>263</v>
      </c>
      <c r="B63" s="430"/>
      <c r="C63" s="430" t="s">
        <v>184</v>
      </c>
      <c r="D63" s="430" t="s">
        <v>152</v>
      </c>
      <c r="E63" s="430"/>
      <c r="F63" s="430"/>
      <c r="G63" s="79"/>
      <c r="H63" s="79"/>
    </row>
    <row r="64" spans="1:8" ht="60" customHeight="1" x14ac:dyDescent="0.25">
      <c r="A64" s="436" t="s">
        <v>355</v>
      </c>
      <c r="B64" s="430"/>
      <c r="C64" s="430" t="s">
        <v>129</v>
      </c>
      <c r="D64" s="430" t="s">
        <v>152</v>
      </c>
      <c r="E64" s="430"/>
      <c r="F64" s="430"/>
      <c r="G64" s="79"/>
      <c r="H64" s="79"/>
    </row>
    <row r="65" spans="1:8" ht="60" customHeight="1" x14ac:dyDescent="0.25">
      <c r="A65" s="436" t="s">
        <v>354</v>
      </c>
      <c r="B65" s="430"/>
      <c r="C65" s="430" t="s">
        <v>129</v>
      </c>
      <c r="D65" s="430" t="s">
        <v>152</v>
      </c>
      <c r="E65" s="430"/>
      <c r="F65" s="430"/>
      <c r="G65" s="79"/>
      <c r="H65" s="79"/>
    </row>
    <row r="66" spans="1:8" ht="60" customHeight="1" x14ac:dyDescent="0.25">
      <c r="A66" s="436" t="s">
        <v>357</v>
      </c>
      <c r="B66" s="430"/>
      <c r="C66" s="430" t="s">
        <v>184</v>
      </c>
      <c r="D66" s="430" t="s">
        <v>152</v>
      </c>
      <c r="E66" s="430"/>
      <c r="F66" s="430"/>
      <c r="G66" s="79"/>
      <c r="H66" s="79"/>
    </row>
    <row r="67" spans="1:8" ht="60" customHeight="1" x14ac:dyDescent="0.25">
      <c r="A67" s="436" t="s">
        <v>356</v>
      </c>
      <c r="B67" s="430"/>
      <c r="C67" s="430" t="s">
        <v>184</v>
      </c>
      <c r="D67" s="430" t="s">
        <v>152</v>
      </c>
      <c r="E67" s="430"/>
      <c r="F67" s="430"/>
      <c r="G67" s="79"/>
      <c r="H67" s="79"/>
    </row>
    <row r="68" spans="1:8" ht="60" customHeight="1" x14ac:dyDescent="0.25">
      <c r="A68" s="436" t="s">
        <v>359</v>
      </c>
      <c r="B68" s="430"/>
      <c r="C68" s="430" t="s">
        <v>184</v>
      </c>
      <c r="D68" s="430" t="s">
        <v>152</v>
      </c>
      <c r="E68" s="430"/>
      <c r="F68" s="430"/>
      <c r="G68" s="79"/>
      <c r="H68" s="79"/>
    </row>
    <row r="69" spans="1:8" ht="60" customHeight="1" x14ac:dyDescent="0.25">
      <c r="A69" s="436" t="s">
        <v>358</v>
      </c>
      <c r="B69" s="430"/>
      <c r="C69" s="430" t="s">
        <v>184</v>
      </c>
      <c r="D69" s="430" t="s">
        <v>152</v>
      </c>
      <c r="E69" s="430"/>
      <c r="F69" s="430"/>
      <c r="G69" s="79"/>
      <c r="H69" s="79"/>
    </row>
    <row r="70" spans="1:8" ht="60" customHeight="1" x14ac:dyDescent="0.25">
      <c r="A70" s="436" t="s">
        <v>309</v>
      </c>
      <c r="B70" s="430"/>
      <c r="C70" s="430"/>
      <c r="D70" s="430" t="s">
        <v>152</v>
      </c>
      <c r="E70" s="430"/>
      <c r="F70" s="430"/>
      <c r="G70" s="79"/>
      <c r="H70" s="79"/>
    </row>
    <row r="71" spans="1:8" ht="60" customHeight="1" x14ac:dyDescent="0.25">
      <c r="A71" s="436" t="s">
        <v>324</v>
      </c>
      <c r="B71" s="430"/>
      <c r="C71" s="430" t="s">
        <v>138</v>
      </c>
      <c r="D71" s="430" t="s">
        <v>135</v>
      </c>
      <c r="E71" s="430"/>
      <c r="F71" s="430"/>
      <c r="G71" s="79"/>
      <c r="H71" s="79"/>
    </row>
    <row r="72" spans="1:8" ht="60" customHeight="1" x14ac:dyDescent="0.25">
      <c r="A72" s="436" t="s">
        <v>326</v>
      </c>
      <c r="B72" s="430"/>
      <c r="C72" s="430" t="s">
        <v>138</v>
      </c>
      <c r="D72" s="430" t="s">
        <v>135</v>
      </c>
      <c r="E72" s="430"/>
      <c r="F72" s="430"/>
      <c r="G72" s="79"/>
      <c r="H72" s="79"/>
    </row>
    <row r="73" spans="1:8" ht="60" customHeight="1" x14ac:dyDescent="0.25">
      <c r="A73" s="436" t="s">
        <v>325</v>
      </c>
      <c r="B73" s="430"/>
      <c r="C73" s="430" t="s">
        <v>138</v>
      </c>
      <c r="D73" s="430" t="s">
        <v>135</v>
      </c>
      <c r="E73" s="430"/>
      <c r="F73" s="430"/>
      <c r="G73" s="79"/>
      <c r="H73" s="79"/>
    </row>
    <row r="74" spans="1:8" ht="60" customHeight="1" x14ac:dyDescent="0.25">
      <c r="A74" s="436" t="s">
        <v>327</v>
      </c>
      <c r="B74" s="430"/>
      <c r="C74" s="430" t="s">
        <v>138</v>
      </c>
      <c r="D74" s="430" t="s">
        <v>135</v>
      </c>
      <c r="E74" s="430"/>
      <c r="F74" s="430"/>
      <c r="G74" s="79"/>
      <c r="H74" s="79"/>
    </row>
    <row r="75" spans="1:8" ht="60" customHeight="1" x14ac:dyDescent="0.25">
      <c r="A75" s="437" t="s">
        <v>623</v>
      </c>
      <c r="B75" s="432"/>
      <c r="C75" s="430" t="s">
        <v>138</v>
      </c>
      <c r="D75" s="430" t="s">
        <v>152</v>
      </c>
      <c r="E75" s="430"/>
      <c r="F75" s="430"/>
      <c r="G75" s="79"/>
      <c r="H75" s="79"/>
    </row>
    <row r="76" spans="1:8" ht="60" customHeight="1" x14ac:dyDescent="0.25">
      <c r="A76" s="437" t="s">
        <v>304</v>
      </c>
      <c r="B76" s="432"/>
      <c r="C76" s="430" t="s">
        <v>138</v>
      </c>
      <c r="D76" s="430" t="s">
        <v>152</v>
      </c>
      <c r="E76" s="430"/>
      <c r="F76" s="430"/>
      <c r="G76" s="79"/>
      <c r="H76" s="79"/>
    </row>
    <row r="77" spans="1:8" ht="60" customHeight="1" x14ac:dyDescent="0.25">
      <c r="A77" s="436" t="s">
        <v>316</v>
      </c>
      <c r="B77" s="430"/>
      <c r="C77" s="430" t="s">
        <v>138</v>
      </c>
      <c r="D77" s="430" t="s">
        <v>135</v>
      </c>
      <c r="E77" s="430"/>
      <c r="F77" s="430"/>
      <c r="G77" s="79"/>
      <c r="H77" s="79"/>
    </row>
    <row r="78" spans="1:8" ht="60" customHeight="1" x14ac:dyDescent="0.25">
      <c r="A78" s="436" t="s">
        <v>300</v>
      </c>
      <c r="B78" s="430"/>
      <c r="C78" s="430" t="s">
        <v>138</v>
      </c>
      <c r="D78" s="430" t="s">
        <v>135</v>
      </c>
      <c r="E78" s="430"/>
      <c r="F78" s="430"/>
      <c r="G78" s="79"/>
      <c r="H78" s="79"/>
    </row>
    <row r="79" spans="1:8" ht="60" customHeight="1" x14ac:dyDescent="0.25">
      <c r="A79" s="436" t="s">
        <v>317</v>
      </c>
      <c r="B79" s="430"/>
      <c r="C79" s="430" t="s">
        <v>138</v>
      </c>
      <c r="D79" s="430" t="s">
        <v>135</v>
      </c>
      <c r="E79" s="430"/>
      <c r="F79" s="430"/>
      <c r="G79" s="79"/>
      <c r="H79" s="79"/>
    </row>
    <row r="80" spans="1:8" ht="60" customHeight="1" x14ac:dyDescent="0.25">
      <c r="A80" s="436" t="s">
        <v>301</v>
      </c>
      <c r="B80" s="430"/>
      <c r="C80" s="430" t="s">
        <v>138</v>
      </c>
      <c r="D80" s="430" t="s">
        <v>135</v>
      </c>
      <c r="E80" s="430"/>
      <c r="F80" s="430"/>
      <c r="G80" s="79"/>
      <c r="H80" s="79"/>
    </row>
    <row r="81" spans="1:8" ht="60" customHeight="1" x14ac:dyDescent="0.25">
      <c r="A81" s="436" t="s">
        <v>320</v>
      </c>
      <c r="B81" s="430"/>
      <c r="C81" s="430" t="s">
        <v>138</v>
      </c>
      <c r="D81" s="430" t="s">
        <v>135</v>
      </c>
      <c r="E81" s="430"/>
      <c r="F81" s="430"/>
      <c r="G81" s="79"/>
      <c r="H81" s="79"/>
    </row>
    <row r="82" spans="1:8" ht="60" customHeight="1" x14ac:dyDescent="0.25">
      <c r="A82" s="436" t="s">
        <v>302</v>
      </c>
      <c r="B82" s="430"/>
      <c r="C82" s="430" t="s">
        <v>138</v>
      </c>
      <c r="D82" s="430" t="s">
        <v>135</v>
      </c>
      <c r="E82" s="430"/>
      <c r="F82" s="430"/>
      <c r="G82" s="79"/>
      <c r="H82" s="79"/>
    </row>
    <row r="83" spans="1:8" ht="60" customHeight="1" x14ac:dyDescent="0.25">
      <c r="A83" s="436" t="s">
        <v>318</v>
      </c>
      <c r="B83" s="430"/>
      <c r="C83" s="430" t="s">
        <v>138</v>
      </c>
      <c r="D83" s="430" t="s">
        <v>135</v>
      </c>
      <c r="E83" s="430"/>
      <c r="F83" s="430"/>
      <c r="G83" s="79"/>
      <c r="H83" s="79"/>
    </row>
    <row r="84" spans="1:8" ht="60" customHeight="1" x14ac:dyDescent="0.25">
      <c r="A84" s="436" t="s">
        <v>307</v>
      </c>
      <c r="B84" s="430"/>
      <c r="C84" s="430" t="s">
        <v>138</v>
      </c>
      <c r="D84" s="430" t="s">
        <v>135</v>
      </c>
      <c r="E84" s="430"/>
      <c r="F84" s="430"/>
      <c r="G84" s="79"/>
      <c r="H84" s="79"/>
    </row>
    <row r="85" spans="1:8" ht="60" customHeight="1" x14ac:dyDescent="0.25">
      <c r="A85" s="436" t="s">
        <v>319</v>
      </c>
      <c r="B85" s="430"/>
      <c r="C85" s="430" t="s">
        <v>138</v>
      </c>
      <c r="D85" s="430" t="s">
        <v>135</v>
      </c>
      <c r="E85" s="430"/>
      <c r="F85" s="430"/>
      <c r="G85" s="79"/>
      <c r="H85" s="79"/>
    </row>
    <row r="86" spans="1:8" ht="60" customHeight="1" x14ac:dyDescent="0.25">
      <c r="A86" s="436" t="s">
        <v>308</v>
      </c>
      <c r="B86" s="430"/>
      <c r="C86" s="430" t="s">
        <v>138</v>
      </c>
      <c r="D86" s="430" t="s">
        <v>135</v>
      </c>
      <c r="E86" s="430"/>
      <c r="F86" s="430"/>
      <c r="G86" s="79"/>
      <c r="H86" s="79"/>
    </row>
    <row r="87" spans="1:8" ht="60" customHeight="1" x14ac:dyDescent="0.25">
      <c r="A87" s="436" t="s">
        <v>322</v>
      </c>
      <c r="B87" s="430"/>
      <c r="C87" s="430" t="s">
        <v>138</v>
      </c>
      <c r="D87" s="430" t="s">
        <v>135</v>
      </c>
      <c r="E87" s="430"/>
      <c r="F87" s="430"/>
      <c r="G87" s="79"/>
      <c r="H87" s="79"/>
    </row>
    <row r="88" spans="1:8" ht="60" customHeight="1" x14ac:dyDescent="0.25">
      <c r="A88" s="436" t="s">
        <v>298</v>
      </c>
      <c r="B88" s="430"/>
      <c r="C88" s="430" t="s">
        <v>138</v>
      </c>
      <c r="D88" s="430" t="s">
        <v>135</v>
      </c>
      <c r="E88" s="430"/>
      <c r="F88" s="430"/>
      <c r="G88" s="79"/>
      <c r="H88" s="79"/>
    </row>
    <row r="89" spans="1:8" ht="60" customHeight="1" x14ac:dyDescent="0.25">
      <c r="A89" s="436" t="s">
        <v>310</v>
      </c>
      <c r="B89" s="430"/>
      <c r="C89" s="430" t="s">
        <v>138</v>
      </c>
      <c r="D89" s="430" t="s">
        <v>135</v>
      </c>
      <c r="E89" s="430"/>
      <c r="F89" s="430"/>
      <c r="G89" s="79"/>
      <c r="H89" s="79"/>
    </row>
    <row r="90" spans="1:8" ht="60" customHeight="1" x14ac:dyDescent="0.25">
      <c r="A90" s="436" t="s">
        <v>303</v>
      </c>
      <c r="B90" s="430"/>
      <c r="C90" s="430" t="s">
        <v>138</v>
      </c>
      <c r="D90" s="430" t="s">
        <v>135</v>
      </c>
      <c r="E90" s="430"/>
      <c r="F90" s="430"/>
      <c r="G90" s="79"/>
      <c r="H90" s="79"/>
    </row>
    <row r="91" spans="1:8" ht="60" customHeight="1" x14ac:dyDescent="0.25">
      <c r="A91" s="436" t="s">
        <v>311</v>
      </c>
      <c r="B91" s="430"/>
      <c r="C91" s="430" t="s">
        <v>138</v>
      </c>
      <c r="D91" s="430" t="s">
        <v>135</v>
      </c>
      <c r="E91" s="430"/>
      <c r="F91" s="430"/>
      <c r="G91" s="79"/>
      <c r="H91" s="79"/>
    </row>
    <row r="92" spans="1:8" ht="60" customHeight="1" x14ac:dyDescent="0.25">
      <c r="A92" s="436" t="s">
        <v>296</v>
      </c>
      <c r="B92" s="430"/>
      <c r="C92" s="430" t="s">
        <v>138</v>
      </c>
      <c r="D92" s="430" t="s">
        <v>135</v>
      </c>
      <c r="E92" s="430"/>
      <c r="F92" s="430"/>
      <c r="G92" s="79"/>
      <c r="H92" s="79"/>
    </row>
    <row r="93" spans="1:8" ht="60" customHeight="1" x14ac:dyDescent="0.25">
      <c r="A93" s="436" t="s">
        <v>314</v>
      </c>
      <c r="B93" s="433"/>
      <c r="C93" s="433" t="s">
        <v>138</v>
      </c>
      <c r="D93" s="430" t="s">
        <v>135</v>
      </c>
      <c r="E93" s="430"/>
      <c r="F93" s="430"/>
      <c r="G93" s="79"/>
      <c r="H93" s="79"/>
    </row>
    <row r="94" spans="1:8" ht="60" customHeight="1" x14ac:dyDescent="0.25">
      <c r="A94" s="436" t="s">
        <v>297</v>
      </c>
      <c r="B94" s="433"/>
      <c r="C94" s="433" t="s">
        <v>138</v>
      </c>
      <c r="D94" s="430" t="s">
        <v>135</v>
      </c>
      <c r="E94" s="430"/>
      <c r="F94" s="430"/>
      <c r="G94" s="79"/>
      <c r="H94" s="79"/>
    </row>
    <row r="95" spans="1:8" ht="60" customHeight="1" x14ac:dyDescent="0.25">
      <c r="A95" s="436" t="s">
        <v>315</v>
      </c>
      <c r="B95" s="433"/>
      <c r="C95" s="433" t="s">
        <v>138</v>
      </c>
      <c r="D95" s="430" t="s">
        <v>135</v>
      </c>
      <c r="E95" s="430"/>
      <c r="F95" s="430"/>
      <c r="G95" s="79"/>
      <c r="H95" s="79"/>
    </row>
    <row r="96" spans="1:8" ht="60" customHeight="1" x14ac:dyDescent="0.25">
      <c r="A96" s="436" t="s">
        <v>299</v>
      </c>
      <c r="B96" s="433"/>
      <c r="C96" s="433" t="s">
        <v>138</v>
      </c>
      <c r="D96" s="430" t="s">
        <v>135</v>
      </c>
      <c r="E96" s="430"/>
      <c r="F96" s="430"/>
      <c r="G96" s="79"/>
      <c r="H96" s="79"/>
    </row>
    <row r="97" spans="1:8" ht="60" customHeight="1" x14ac:dyDescent="0.25">
      <c r="A97" s="436" t="s">
        <v>312</v>
      </c>
      <c r="B97" s="433"/>
      <c r="C97" s="433" t="s">
        <v>138</v>
      </c>
      <c r="D97" s="430" t="s">
        <v>135</v>
      </c>
      <c r="E97" s="430"/>
      <c r="F97" s="430"/>
      <c r="G97" s="79"/>
      <c r="H97" s="79"/>
    </row>
    <row r="98" spans="1:8" ht="60" customHeight="1" x14ac:dyDescent="0.25">
      <c r="A98" s="436" t="s">
        <v>305</v>
      </c>
      <c r="B98" s="433"/>
      <c r="C98" s="433" t="s">
        <v>138</v>
      </c>
      <c r="D98" s="430" t="s">
        <v>135</v>
      </c>
      <c r="E98" s="430"/>
      <c r="F98" s="430"/>
      <c r="G98" s="79"/>
      <c r="H98" s="79"/>
    </row>
    <row r="99" spans="1:8" ht="60" customHeight="1" x14ac:dyDescent="0.25">
      <c r="A99" s="436" t="s">
        <v>313</v>
      </c>
      <c r="B99" s="433"/>
      <c r="C99" s="433" t="s">
        <v>138</v>
      </c>
      <c r="D99" s="430" t="s">
        <v>135</v>
      </c>
      <c r="E99" s="430"/>
      <c r="F99" s="430"/>
      <c r="G99" s="79"/>
      <c r="H99" s="79"/>
    </row>
    <row r="100" spans="1:8" ht="60" customHeight="1" x14ac:dyDescent="0.25">
      <c r="A100" s="436" t="s">
        <v>306</v>
      </c>
      <c r="B100" s="430"/>
      <c r="C100" s="430" t="s">
        <v>138</v>
      </c>
      <c r="D100" s="430" t="s">
        <v>135</v>
      </c>
      <c r="E100" s="430"/>
      <c r="F100" s="430"/>
      <c r="G100" s="79"/>
      <c r="H100" s="79"/>
    </row>
    <row r="101" spans="1:8" ht="60" customHeight="1" x14ac:dyDescent="0.25">
      <c r="A101" s="438" t="s">
        <v>266</v>
      </c>
      <c r="B101" s="433"/>
      <c r="C101" s="430"/>
      <c r="D101" s="441"/>
      <c r="E101" s="441"/>
      <c r="F101" s="441"/>
      <c r="G101" s="79"/>
      <c r="H101" s="79"/>
    </row>
    <row r="102" spans="1:8" ht="60" customHeight="1" x14ac:dyDescent="0.25">
      <c r="A102" s="438" t="s">
        <v>220</v>
      </c>
      <c r="B102" s="433"/>
      <c r="C102" s="430"/>
      <c r="D102" s="441"/>
      <c r="E102" s="441"/>
      <c r="F102" s="441"/>
      <c r="G102" s="79"/>
      <c r="H102" s="79"/>
    </row>
    <row r="103" spans="1:8" ht="60" customHeight="1" x14ac:dyDescent="0.25">
      <c r="A103" s="438" t="s">
        <v>361</v>
      </c>
      <c r="B103" s="433"/>
      <c r="C103" s="430" t="s">
        <v>184</v>
      </c>
      <c r="D103" s="441" t="s">
        <v>152</v>
      </c>
      <c r="E103" s="441"/>
      <c r="F103" s="441"/>
      <c r="G103" s="79"/>
      <c r="H103" s="79"/>
    </row>
    <row r="104" spans="1:8" ht="60" customHeight="1" x14ac:dyDescent="0.25">
      <c r="A104" s="438" t="s">
        <v>330</v>
      </c>
      <c r="B104" s="433"/>
      <c r="C104" s="430" t="s">
        <v>184</v>
      </c>
      <c r="D104" s="441" t="s">
        <v>152</v>
      </c>
      <c r="E104" s="441"/>
      <c r="F104" s="441"/>
      <c r="G104" s="79"/>
      <c r="H104" s="79"/>
    </row>
    <row r="105" spans="1:8" ht="60" customHeight="1" x14ac:dyDescent="0.25">
      <c r="A105" s="438" t="s">
        <v>25</v>
      </c>
      <c r="B105" s="433"/>
      <c r="C105" s="430" t="s">
        <v>202</v>
      </c>
      <c r="D105" s="441" t="s">
        <v>152</v>
      </c>
      <c r="E105" s="441"/>
      <c r="F105" s="441"/>
      <c r="G105" s="79"/>
      <c r="H105" s="79"/>
    </row>
    <row r="106" spans="1:8" ht="60" customHeight="1" x14ac:dyDescent="0.25">
      <c r="A106" s="438" t="s">
        <v>362</v>
      </c>
      <c r="B106" s="433"/>
      <c r="C106" s="430" t="s">
        <v>184</v>
      </c>
      <c r="D106" s="441" t="s">
        <v>152</v>
      </c>
      <c r="E106" s="441"/>
      <c r="F106" s="441"/>
      <c r="G106" s="79"/>
      <c r="H106" s="79"/>
    </row>
    <row r="107" spans="1:8" ht="60" customHeight="1" x14ac:dyDescent="0.25">
      <c r="A107" s="439" t="s">
        <v>360</v>
      </c>
      <c r="B107" s="434"/>
      <c r="C107" s="442" t="s">
        <v>184</v>
      </c>
      <c r="D107" s="443" t="s">
        <v>152</v>
      </c>
      <c r="E107" s="443"/>
      <c r="F107" s="443"/>
      <c r="G107" s="79"/>
      <c r="H107" s="79"/>
    </row>
    <row r="108" spans="1:8" ht="60" customHeight="1" x14ac:dyDescent="0.25">
      <c r="A108" s="438" t="s">
        <v>331</v>
      </c>
      <c r="B108" s="433"/>
      <c r="C108" s="430" t="s">
        <v>184</v>
      </c>
      <c r="D108" s="441" t="s">
        <v>152</v>
      </c>
      <c r="E108" s="441"/>
      <c r="F108" s="441"/>
      <c r="G108" s="79"/>
      <c r="H108" s="79"/>
    </row>
  </sheetData>
  <sortState ref="A2:C108">
    <sortCondition ref="A2:A10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6"/>
  <sheetViews>
    <sheetView topLeftCell="A139" zoomScale="80" zoomScaleNormal="80" workbookViewId="0">
      <selection activeCell="J2" sqref="J2:J5"/>
    </sheetView>
  </sheetViews>
  <sheetFormatPr defaultColWidth="9.140625" defaultRowHeight="12.75" x14ac:dyDescent="0.25"/>
  <cols>
    <col min="1" max="1" width="51.7109375" style="482" customWidth="1"/>
    <col min="2" max="2" width="19.5703125" style="482" customWidth="1"/>
    <col min="3" max="3" width="20.140625" style="482" customWidth="1"/>
    <col min="4" max="5" width="20.140625" style="482" hidden="1" customWidth="1"/>
    <col min="6" max="6" width="38.140625" style="516" hidden="1" customWidth="1"/>
    <col min="7" max="7" width="41.42578125" style="482" hidden="1" customWidth="1"/>
    <col min="8" max="8" width="36.5703125" style="482" customWidth="1"/>
    <col min="9" max="9" width="22" style="482" customWidth="1"/>
    <col min="10" max="10" width="65.28515625" style="482" bestFit="1" customWidth="1"/>
    <col min="11" max="16384" width="9.140625" style="482"/>
  </cols>
  <sheetData>
    <row r="1" spans="1:10" ht="25.5" x14ac:dyDescent="0.25">
      <c r="A1" s="475" t="s">
        <v>641</v>
      </c>
      <c r="B1" s="476" t="s">
        <v>642</v>
      </c>
      <c r="C1" s="476" t="s">
        <v>643</v>
      </c>
      <c r="D1" s="477" t="s">
        <v>644</v>
      </c>
      <c r="E1" s="477" t="s">
        <v>645</v>
      </c>
      <c r="F1" s="478" t="s">
        <v>646</v>
      </c>
      <c r="G1" s="479" t="s">
        <v>647</v>
      </c>
      <c r="H1" s="480" t="s">
        <v>648</v>
      </c>
      <c r="I1" s="479" t="s">
        <v>649</v>
      </c>
      <c r="J1" s="481" t="s">
        <v>1033</v>
      </c>
    </row>
    <row r="2" spans="1:10" x14ac:dyDescent="0.25">
      <c r="A2" s="538" t="s">
        <v>650</v>
      </c>
      <c r="B2" s="483" t="s">
        <v>651</v>
      </c>
      <c r="C2" s="509" t="s">
        <v>652</v>
      </c>
      <c r="D2" s="485">
        <v>10000</v>
      </c>
      <c r="E2" s="484" t="s">
        <v>653</v>
      </c>
      <c r="F2" s="486">
        <v>10000</v>
      </c>
      <c r="G2" s="487"/>
      <c r="H2" s="488"/>
      <c r="I2" s="489">
        <v>10000</v>
      </c>
      <c r="J2" s="523" t="s">
        <v>1032</v>
      </c>
    </row>
    <row r="3" spans="1:10" x14ac:dyDescent="0.25">
      <c r="A3" s="538" t="s">
        <v>654</v>
      </c>
      <c r="B3" s="483" t="s">
        <v>655</v>
      </c>
      <c r="C3" s="509" t="s">
        <v>656</v>
      </c>
      <c r="D3" s="490">
        <v>4.72</v>
      </c>
      <c r="E3" s="491" t="s">
        <v>657</v>
      </c>
      <c r="F3" s="486" t="s">
        <v>658</v>
      </c>
      <c r="G3" s="484" t="s">
        <v>659</v>
      </c>
      <c r="H3" s="488">
        <v>5.05</v>
      </c>
      <c r="I3" s="489">
        <f>H3*1.026</f>
        <v>5.1813000000000002</v>
      </c>
      <c r="J3" s="524"/>
    </row>
    <row r="4" spans="1:10" s="492" customFormat="1" x14ac:dyDescent="0.25">
      <c r="A4" s="538" t="s">
        <v>660</v>
      </c>
      <c r="B4" s="483" t="s">
        <v>661</v>
      </c>
      <c r="C4" s="509" t="s">
        <v>652</v>
      </c>
      <c r="D4" s="490"/>
      <c r="E4" s="484" t="s">
        <v>653</v>
      </c>
      <c r="F4" s="486">
        <v>5000</v>
      </c>
      <c r="G4" s="484"/>
      <c r="H4" s="488"/>
      <c r="I4" s="489">
        <v>5000</v>
      </c>
      <c r="J4" s="524"/>
    </row>
    <row r="5" spans="1:10" x14ac:dyDescent="0.25">
      <c r="A5" s="538" t="s">
        <v>662</v>
      </c>
      <c r="B5" s="483" t="s">
        <v>663</v>
      </c>
      <c r="C5" s="509" t="s">
        <v>652</v>
      </c>
      <c r="D5" s="490"/>
      <c r="E5" s="484" t="s">
        <v>653</v>
      </c>
      <c r="F5" s="486">
        <v>10000</v>
      </c>
      <c r="G5" s="484"/>
      <c r="H5" s="488"/>
      <c r="I5" s="489">
        <v>10000</v>
      </c>
      <c r="J5" s="523" t="s">
        <v>1032</v>
      </c>
    </row>
    <row r="6" spans="1:10" x14ac:dyDescent="0.25">
      <c r="A6" s="538" t="s">
        <v>664</v>
      </c>
      <c r="B6" s="484"/>
      <c r="C6" s="509"/>
      <c r="D6" s="490"/>
      <c r="E6" s="484"/>
      <c r="F6" s="486"/>
      <c r="G6" s="484"/>
      <c r="H6" s="488"/>
      <c r="I6" s="489"/>
      <c r="J6" s="524"/>
    </row>
    <row r="7" spans="1:10" x14ac:dyDescent="0.25">
      <c r="A7" s="539" t="s">
        <v>665</v>
      </c>
      <c r="B7" s="483" t="s">
        <v>666</v>
      </c>
      <c r="C7" s="509" t="s">
        <v>667</v>
      </c>
      <c r="D7" s="490">
        <v>152</v>
      </c>
      <c r="E7" s="491">
        <v>152.36000000000001</v>
      </c>
      <c r="F7" s="486">
        <v>153.56</v>
      </c>
      <c r="G7" s="494">
        <v>153</v>
      </c>
      <c r="H7" s="488">
        <v>153.56</v>
      </c>
      <c r="I7" s="489">
        <f t="shared" ref="I7:I10" si="0">H7*1.026</f>
        <v>157.55256</v>
      </c>
      <c r="J7" s="524"/>
    </row>
    <row r="8" spans="1:10" x14ac:dyDescent="0.25">
      <c r="A8" s="539" t="s">
        <v>668</v>
      </c>
      <c r="B8" s="483" t="s">
        <v>669</v>
      </c>
      <c r="C8" s="509" t="s">
        <v>667</v>
      </c>
      <c r="D8" s="490">
        <v>170</v>
      </c>
      <c r="E8" s="491">
        <v>170.51</v>
      </c>
      <c r="F8" s="486">
        <v>171.74</v>
      </c>
      <c r="G8" s="494">
        <v>171</v>
      </c>
      <c r="H8" s="488">
        <v>171.74</v>
      </c>
      <c r="I8" s="489">
        <f t="shared" si="0"/>
        <v>176.20524</v>
      </c>
      <c r="J8" s="524"/>
    </row>
    <row r="9" spans="1:10" x14ac:dyDescent="0.25">
      <c r="A9" s="539" t="s">
        <v>670</v>
      </c>
      <c r="B9" s="483" t="s">
        <v>671</v>
      </c>
      <c r="C9" s="509" t="s">
        <v>667</v>
      </c>
      <c r="D9" s="490">
        <v>221</v>
      </c>
      <c r="E9" s="491">
        <v>221.66</v>
      </c>
      <c r="F9" s="486">
        <v>223.66</v>
      </c>
      <c r="G9" s="495">
        <v>221</v>
      </c>
      <c r="H9" s="488">
        <v>223.66</v>
      </c>
      <c r="I9" s="489">
        <f t="shared" si="0"/>
        <v>229.47515999999999</v>
      </c>
      <c r="J9" s="524"/>
    </row>
    <row r="10" spans="1:10" x14ac:dyDescent="0.25">
      <c r="A10" s="539" t="s">
        <v>672</v>
      </c>
      <c r="B10" s="483" t="s">
        <v>673</v>
      </c>
      <c r="C10" s="509" t="s">
        <v>667</v>
      </c>
      <c r="D10" s="490">
        <v>500</v>
      </c>
      <c r="E10" s="491">
        <v>501.5</v>
      </c>
      <c r="F10" s="486">
        <v>505.12</v>
      </c>
      <c r="G10" s="484"/>
      <c r="H10" s="488">
        <v>505.5</v>
      </c>
      <c r="I10" s="489">
        <f t="shared" si="0"/>
        <v>518.64300000000003</v>
      </c>
      <c r="J10" s="524"/>
    </row>
    <row r="11" spans="1:10" x14ac:dyDescent="0.25">
      <c r="A11" s="538" t="s">
        <v>674</v>
      </c>
      <c r="B11" s="484"/>
      <c r="C11" s="509"/>
      <c r="D11" s="490"/>
      <c r="E11" s="484"/>
      <c r="F11" s="496"/>
      <c r="G11" s="484"/>
      <c r="H11" s="488"/>
      <c r="I11" s="489"/>
      <c r="J11" s="524"/>
    </row>
    <row r="12" spans="1:10" x14ac:dyDescent="0.25">
      <c r="A12" s="539" t="s">
        <v>409</v>
      </c>
      <c r="B12" s="484" t="s">
        <v>675</v>
      </c>
      <c r="C12" s="509" t="s">
        <v>676</v>
      </c>
      <c r="D12" s="490">
        <v>5.82</v>
      </c>
      <c r="E12" s="484" t="s">
        <v>677</v>
      </c>
      <c r="F12" s="496" t="s">
        <v>678</v>
      </c>
      <c r="G12" s="497" t="s">
        <v>679</v>
      </c>
      <c r="H12" s="488">
        <v>5.88</v>
      </c>
      <c r="I12" s="489">
        <f>H12*1.026</f>
        <v>6.0328800000000005</v>
      </c>
      <c r="J12" s="524"/>
    </row>
    <row r="13" spans="1:10" x14ac:dyDescent="0.25">
      <c r="A13" s="539" t="s">
        <v>680</v>
      </c>
      <c r="B13" s="484" t="s">
        <v>681</v>
      </c>
      <c r="C13" s="509" t="s">
        <v>656</v>
      </c>
      <c r="D13" s="490"/>
      <c r="E13" s="484" t="s">
        <v>677</v>
      </c>
      <c r="F13" s="496" t="s">
        <v>678</v>
      </c>
      <c r="G13" s="484"/>
      <c r="H13" s="488"/>
      <c r="I13" s="489"/>
      <c r="J13" s="524"/>
    </row>
    <row r="14" spans="1:10" x14ac:dyDescent="0.25">
      <c r="A14" s="538" t="s">
        <v>682</v>
      </c>
      <c r="B14" s="484"/>
      <c r="C14" s="509"/>
      <c r="D14" s="490">
        <v>75</v>
      </c>
      <c r="E14" s="484"/>
      <c r="F14" s="496"/>
      <c r="G14" s="484"/>
      <c r="H14" s="488"/>
      <c r="I14" s="489">
        <f t="shared" ref="I14:I54" si="1">H14*1.026</f>
        <v>0</v>
      </c>
      <c r="J14" s="524"/>
    </row>
    <row r="15" spans="1:10" x14ac:dyDescent="0.25">
      <c r="A15" s="539" t="s">
        <v>683</v>
      </c>
      <c r="B15" s="484" t="s">
        <v>684</v>
      </c>
      <c r="C15" s="509" t="s">
        <v>656</v>
      </c>
      <c r="D15" s="490">
        <v>75</v>
      </c>
      <c r="E15" s="484" t="s">
        <v>685</v>
      </c>
      <c r="F15" s="496" t="s">
        <v>686</v>
      </c>
      <c r="G15" s="484"/>
      <c r="H15" s="488">
        <v>75.77</v>
      </c>
      <c r="I15" s="489">
        <f t="shared" si="1"/>
        <v>77.740020000000001</v>
      </c>
      <c r="J15" s="524"/>
    </row>
    <row r="16" spans="1:10" x14ac:dyDescent="0.25">
      <c r="A16" s="539" t="s">
        <v>687</v>
      </c>
      <c r="B16" s="484" t="s">
        <v>688</v>
      </c>
      <c r="C16" s="509" t="s">
        <v>656</v>
      </c>
      <c r="D16" s="490"/>
      <c r="E16" s="484" t="s">
        <v>685</v>
      </c>
      <c r="F16" s="496" t="s">
        <v>686</v>
      </c>
      <c r="G16" s="484"/>
      <c r="H16" s="488"/>
      <c r="I16" s="489">
        <f t="shared" si="1"/>
        <v>0</v>
      </c>
      <c r="J16" s="524"/>
    </row>
    <row r="17" spans="1:11" x14ac:dyDescent="0.25">
      <c r="A17" s="539" t="s">
        <v>689</v>
      </c>
      <c r="B17" s="484" t="s">
        <v>690</v>
      </c>
      <c r="C17" s="509" t="s">
        <v>691</v>
      </c>
      <c r="D17" s="490" t="s">
        <v>692</v>
      </c>
      <c r="E17" s="484" t="s">
        <v>685</v>
      </c>
      <c r="F17" s="496" t="s">
        <v>686</v>
      </c>
      <c r="G17" s="498" t="s">
        <v>693</v>
      </c>
      <c r="H17" s="488">
        <v>30.31</v>
      </c>
      <c r="I17" s="489">
        <f t="shared" si="1"/>
        <v>31.09806</v>
      </c>
      <c r="J17" s="524"/>
      <c r="K17" s="499">
        <f>75.77*((1+(0.15*4)))/4</f>
        <v>30.308</v>
      </c>
    </row>
    <row r="18" spans="1:11" x14ac:dyDescent="0.25">
      <c r="A18" s="539" t="s">
        <v>694</v>
      </c>
      <c r="B18" s="484" t="s">
        <v>695</v>
      </c>
      <c r="C18" s="509" t="s">
        <v>691</v>
      </c>
      <c r="D18" s="490"/>
      <c r="E18" s="484" t="s">
        <v>685</v>
      </c>
      <c r="F18" s="496" t="s">
        <v>686</v>
      </c>
      <c r="G18" s="484"/>
      <c r="H18" s="488"/>
      <c r="I18" s="489">
        <f t="shared" si="1"/>
        <v>0</v>
      </c>
      <c r="J18" s="524"/>
    </row>
    <row r="19" spans="1:11" x14ac:dyDescent="0.25">
      <c r="A19" s="539" t="s">
        <v>696</v>
      </c>
      <c r="B19" s="484" t="s">
        <v>697</v>
      </c>
      <c r="C19" s="509" t="s">
        <v>656</v>
      </c>
      <c r="D19" s="490"/>
      <c r="E19" s="484" t="s">
        <v>685</v>
      </c>
      <c r="F19" s="496" t="s">
        <v>686</v>
      </c>
      <c r="G19" s="484"/>
      <c r="H19" s="488">
        <v>75.77</v>
      </c>
      <c r="I19" s="489">
        <f t="shared" si="1"/>
        <v>77.740020000000001</v>
      </c>
      <c r="J19" s="524"/>
    </row>
    <row r="20" spans="1:11" x14ac:dyDescent="0.25">
      <c r="A20" s="539" t="s">
        <v>698</v>
      </c>
      <c r="B20" s="484" t="s">
        <v>699</v>
      </c>
      <c r="C20" s="509" t="s">
        <v>656</v>
      </c>
      <c r="D20" s="490"/>
      <c r="E20" s="484" t="s">
        <v>685</v>
      </c>
      <c r="F20" s="496" t="s">
        <v>686</v>
      </c>
      <c r="G20" s="484"/>
      <c r="H20" s="488"/>
      <c r="I20" s="489">
        <f t="shared" si="1"/>
        <v>0</v>
      </c>
      <c r="J20" s="524"/>
    </row>
    <row r="21" spans="1:11" x14ac:dyDescent="0.25">
      <c r="A21" s="539" t="s">
        <v>700</v>
      </c>
      <c r="B21" s="484" t="s">
        <v>701</v>
      </c>
      <c r="C21" s="509" t="s">
        <v>691</v>
      </c>
      <c r="D21" s="490"/>
      <c r="E21" s="484" t="s">
        <v>685</v>
      </c>
      <c r="F21" s="496" t="s">
        <v>686</v>
      </c>
      <c r="G21" s="484"/>
      <c r="H21" s="488">
        <v>30.31</v>
      </c>
      <c r="I21" s="489">
        <f t="shared" si="1"/>
        <v>31.09806</v>
      </c>
      <c r="J21" s="524"/>
    </row>
    <row r="22" spans="1:11" x14ac:dyDescent="0.25">
      <c r="A22" s="539" t="s">
        <v>702</v>
      </c>
      <c r="B22" s="484" t="s">
        <v>703</v>
      </c>
      <c r="C22" s="509" t="s">
        <v>691</v>
      </c>
      <c r="D22" s="490"/>
      <c r="E22" s="484" t="s">
        <v>685</v>
      </c>
      <c r="F22" s="496" t="s">
        <v>686</v>
      </c>
      <c r="G22" s="484"/>
      <c r="H22" s="488"/>
      <c r="I22" s="489">
        <f t="shared" si="1"/>
        <v>0</v>
      </c>
      <c r="J22" s="524"/>
    </row>
    <row r="23" spans="1:11" x14ac:dyDescent="0.25">
      <c r="A23" s="539" t="s">
        <v>704</v>
      </c>
      <c r="B23" s="484" t="s">
        <v>705</v>
      </c>
      <c r="C23" s="509" t="s">
        <v>656</v>
      </c>
      <c r="D23" s="490"/>
      <c r="E23" s="484" t="s">
        <v>685</v>
      </c>
      <c r="F23" s="496" t="s">
        <v>686</v>
      </c>
      <c r="G23" s="484"/>
      <c r="H23" s="488">
        <v>75.77</v>
      </c>
      <c r="I23" s="489">
        <f t="shared" si="1"/>
        <v>77.740020000000001</v>
      </c>
      <c r="J23" s="524"/>
    </row>
    <row r="24" spans="1:11" x14ac:dyDescent="0.25">
      <c r="A24" s="539" t="s">
        <v>706</v>
      </c>
      <c r="B24" s="484" t="s">
        <v>707</v>
      </c>
      <c r="C24" s="509" t="s">
        <v>656</v>
      </c>
      <c r="D24" s="490"/>
      <c r="E24" s="484" t="s">
        <v>685</v>
      </c>
      <c r="F24" s="496" t="s">
        <v>686</v>
      </c>
      <c r="G24" s="484"/>
      <c r="H24" s="488"/>
      <c r="I24" s="489">
        <f t="shared" si="1"/>
        <v>0</v>
      </c>
      <c r="J24" s="524"/>
    </row>
    <row r="25" spans="1:11" x14ac:dyDescent="0.25">
      <c r="A25" s="539" t="s">
        <v>708</v>
      </c>
      <c r="B25" s="484" t="s">
        <v>709</v>
      </c>
      <c r="C25" s="509" t="s">
        <v>691</v>
      </c>
      <c r="D25" s="490"/>
      <c r="E25" s="484" t="s">
        <v>685</v>
      </c>
      <c r="F25" s="496" t="s">
        <v>686</v>
      </c>
      <c r="G25" s="484"/>
      <c r="H25" s="488">
        <v>30.31</v>
      </c>
      <c r="I25" s="489">
        <f t="shared" si="1"/>
        <v>31.09806</v>
      </c>
      <c r="J25" s="524"/>
    </row>
    <row r="26" spans="1:11" x14ac:dyDescent="0.25">
      <c r="A26" s="539" t="s">
        <v>710</v>
      </c>
      <c r="B26" s="484" t="s">
        <v>711</v>
      </c>
      <c r="C26" s="509" t="s">
        <v>691</v>
      </c>
      <c r="D26" s="490"/>
      <c r="E26" s="484" t="s">
        <v>685</v>
      </c>
      <c r="F26" s="496" t="s">
        <v>686</v>
      </c>
      <c r="G26" s="484"/>
      <c r="H26" s="488"/>
      <c r="I26" s="489">
        <f t="shared" si="1"/>
        <v>0</v>
      </c>
      <c r="J26" s="524"/>
    </row>
    <row r="27" spans="1:11" x14ac:dyDescent="0.25">
      <c r="A27" s="539" t="s">
        <v>712</v>
      </c>
      <c r="B27" s="484" t="s">
        <v>713</v>
      </c>
      <c r="C27" s="509" t="s">
        <v>656</v>
      </c>
      <c r="D27" s="490">
        <v>75</v>
      </c>
      <c r="E27" s="484" t="s">
        <v>685</v>
      </c>
      <c r="F27" s="496" t="s">
        <v>686</v>
      </c>
      <c r="G27" s="484"/>
      <c r="H27" s="488">
        <v>75.77</v>
      </c>
      <c r="I27" s="489">
        <f t="shared" si="1"/>
        <v>77.740020000000001</v>
      </c>
      <c r="J27" s="524"/>
    </row>
    <row r="28" spans="1:11" x14ac:dyDescent="0.25">
      <c r="A28" s="539" t="s">
        <v>714</v>
      </c>
      <c r="B28" s="484" t="s">
        <v>715</v>
      </c>
      <c r="C28" s="509" t="s">
        <v>656</v>
      </c>
      <c r="D28" s="490"/>
      <c r="E28" s="484" t="s">
        <v>685</v>
      </c>
      <c r="F28" s="496" t="s">
        <v>686</v>
      </c>
      <c r="G28" s="484"/>
      <c r="H28" s="488"/>
      <c r="I28" s="489">
        <f t="shared" si="1"/>
        <v>0</v>
      </c>
      <c r="J28" s="524"/>
    </row>
    <row r="29" spans="1:11" x14ac:dyDescent="0.25">
      <c r="A29" s="539" t="s">
        <v>716</v>
      </c>
      <c r="B29" s="484" t="s">
        <v>717</v>
      </c>
      <c r="C29" s="509" t="s">
        <v>691</v>
      </c>
      <c r="D29" s="490">
        <v>24.99</v>
      </c>
      <c r="E29" s="484" t="s">
        <v>685</v>
      </c>
      <c r="F29" s="496" t="s">
        <v>686</v>
      </c>
      <c r="G29" s="500" t="s">
        <v>718</v>
      </c>
      <c r="H29" s="488">
        <v>30.31</v>
      </c>
      <c r="I29" s="489">
        <f t="shared" si="1"/>
        <v>31.09806</v>
      </c>
      <c r="J29" s="524"/>
    </row>
    <row r="30" spans="1:11" x14ac:dyDescent="0.25">
      <c r="A30" s="539" t="s">
        <v>719</v>
      </c>
      <c r="B30" s="484" t="s">
        <v>720</v>
      </c>
      <c r="C30" s="509" t="s">
        <v>691</v>
      </c>
      <c r="D30" s="490"/>
      <c r="E30" s="484" t="s">
        <v>685</v>
      </c>
      <c r="F30" s="496" t="s">
        <v>686</v>
      </c>
      <c r="G30" s="484"/>
      <c r="H30" s="488"/>
      <c r="I30" s="489">
        <f t="shared" si="1"/>
        <v>0</v>
      </c>
      <c r="J30" s="524"/>
    </row>
    <row r="31" spans="1:11" x14ac:dyDescent="0.25">
      <c r="A31" s="538" t="s">
        <v>721</v>
      </c>
      <c r="B31" s="484"/>
      <c r="C31" s="509"/>
      <c r="D31" s="490"/>
      <c r="E31" s="484"/>
      <c r="F31" s="496"/>
      <c r="G31" s="484"/>
      <c r="H31" s="488"/>
      <c r="I31" s="489">
        <f t="shared" si="1"/>
        <v>0</v>
      </c>
      <c r="J31" s="524"/>
    </row>
    <row r="32" spans="1:11" s="492" customFormat="1" x14ac:dyDescent="0.25">
      <c r="A32" s="539" t="s">
        <v>722</v>
      </c>
      <c r="B32" s="484" t="s">
        <v>723</v>
      </c>
      <c r="C32" s="509" t="s">
        <v>724</v>
      </c>
      <c r="D32" s="490">
        <v>246.28</v>
      </c>
      <c r="E32" s="491">
        <v>247.02</v>
      </c>
      <c r="F32" s="496">
        <v>248.8</v>
      </c>
      <c r="G32" s="484"/>
      <c r="H32" s="488">
        <v>248.8</v>
      </c>
      <c r="I32" s="489">
        <f t="shared" si="1"/>
        <v>255.26880000000003</v>
      </c>
      <c r="J32" s="524"/>
    </row>
    <row r="33" spans="1:10" x14ac:dyDescent="0.25">
      <c r="A33" s="539" t="s">
        <v>725</v>
      </c>
      <c r="B33" s="484" t="s">
        <v>726</v>
      </c>
      <c r="C33" s="509" t="s">
        <v>656</v>
      </c>
      <c r="D33" s="490">
        <v>21.32</v>
      </c>
      <c r="E33" s="484" t="s">
        <v>727</v>
      </c>
      <c r="F33" s="496" t="s">
        <v>728</v>
      </c>
      <c r="G33" s="484"/>
      <c r="H33" s="488">
        <v>26.66</v>
      </c>
      <c r="I33" s="489">
        <f t="shared" si="1"/>
        <v>27.353159999999999</v>
      </c>
      <c r="J33" s="524"/>
    </row>
    <row r="34" spans="1:10" x14ac:dyDescent="0.25">
      <c r="A34" s="539" t="s">
        <v>729</v>
      </c>
      <c r="B34" s="484" t="s">
        <v>730</v>
      </c>
      <c r="C34" s="509" t="s">
        <v>656</v>
      </c>
      <c r="D34" s="490"/>
      <c r="E34" s="484" t="s">
        <v>731</v>
      </c>
      <c r="F34" s="496" t="s">
        <v>732</v>
      </c>
      <c r="G34" s="484"/>
      <c r="H34" s="488">
        <v>16.420000000000002</v>
      </c>
      <c r="I34" s="489">
        <f t="shared" si="1"/>
        <v>16.846920000000001</v>
      </c>
      <c r="J34" s="524"/>
    </row>
    <row r="35" spans="1:10" x14ac:dyDescent="0.25">
      <c r="A35" s="539" t="s">
        <v>733</v>
      </c>
      <c r="B35" s="484" t="s">
        <v>734</v>
      </c>
      <c r="C35" s="509" t="s">
        <v>656</v>
      </c>
      <c r="D35" s="490">
        <v>5.97</v>
      </c>
      <c r="E35" s="484" t="s">
        <v>735</v>
      </c>
      <c r="F35" s="496" t="s">
        <v>736</v>
      </c>
      <c r="G35" s="484" t="s">
        <v>737</v>
      </c>
      <c r="H35" s="488">
        <v>6.03</v>
      </c>
      <c r="I35" s="489">
        <f t="shared" si="1"/>
        <v>6.1867800000000006</v>
      </c>
      <c r="J35" s="524"/>
    </row>
    <row r="36" spans="1:10" x14ac:dyDescent="0.25">
      <c r="A36" s="538" t="s">
        <v>738</v>
      </c>
      <c r="B36" s="484"/>
      <c r="C36" s="509"/>
      <c r="D36" s="490"/>
      <c r="E36" s="484"/>
      <c r="F36" s="496"/>
      <c r="G36" s="484"/>
      <c r="H36" s="488"/>
      <c r="I36" s="489">
        <f t="shared" si="1"/>
        <v>0</v>
      </c>
      <c r="J36" s="524"/>
    </row>
    <row r="37" spans="1:10" x14ac:dyDescent="0.25">
      <c r="A37" s="539" t="s">
        <v>0</v>
      </c>
      <c r="B37" s="484" t="s">
        <v>739</v>
      </c>
      <c r="C37" s="509" t="s">
        <v>656</v>
      </c>
      <c r="D37" s="490">
        <v>5.43</v>
      </c>
      <c r="E37" s="484" t="s">
        <v>740</v>
      </c>
      <c r="F37" s="496" t="s">
        <v>741</v>
      </c>
      <c r="G37" s="484" t="s">
        <v>742</v>
      </c>
      <c r="H37" s="488">
        <v>5.49</v>
      </c>
      <c r="I37" s="489">
        <f t="shared" si="1"/>
        <v>5.6327400000000001</v>
      </c>
      <c r="J37" s="524"/>
    </row>
    <row r="38" spans="1:10" x14ac:dyDescent="0.25">
      <c r="A38" s="539" t="s">
        <v>743</v>
      </c>
      <c r="B38" s="484" t="s">
        <v>744</v>
      </c>
      <c r="C38" s="509" t="s">
        <v>745</v>
      </c>
      <c r="D38" s="490">
        <v>7.3</v>
      </c>
      <c r="E38" s="491">
        <v>7.32</v>
      </c>
      <c r="F38" s="496">
        <v>7.37</v>
      </c>
      <c r="G38" s="484"/>
      <c r="H38" s="488">
        <v>7.37</v>
      </c>
      <c r="I38" s="489">
        <f t="shared" si="1"/>
        <v>7.5616200000000005</v>
      </c>
      <c r="J38" s="524"/>
    </row>
    <row r="39" spans="1:10" x14ac:dyDescent="0.25">
      <c r="A39" s="539" t="s">
        <v>746</v>
      </c>
      <c r="B39" s="484" t="s">
        <v>747</v>
      </c>
      <c r="C39" s="509" t="s">
        <v>745</v>
      </c>
      <c r="D39" s="490">
        <v>5</v>
      </c>
      <c r="E39" s="491">
        <v>5.0199999999999996</v>
      </c>
      <c r="F39" s="496">
        <v>5.0599999999999996</v>
      </c>
      <c r="G39" s="484"/>
      <c r="H39" s="488">
        <v>5.0599999999999996</v>
      </c>
      <c r="I39" s="489">
        <f t="shared" si="1"/>
        <v>5.19156</v>
      </c>
      <c r="J39" s="524"/>
    </row>
    <row r="40" spans="1:10" x14ac:dyDescent="0.25">
      <c r="A40" s="539" t="s">
        <v>748</v>
      </c>
      <c r="B40" s="484" t="s">
        <v>749</v>
      </c>
      <c r="C40" s="509" t="s">
        <v>656</v>
      </c>
      <c r="D40" s="490">
        <v>10.28</v>
      </c>
      <c r="E40" s="484" t="s">
        <v>750</v>
      </c>
      <c r="F40" s="496" t="s">
        <v>751</v>
      </c>
      <c r="G40" s="484" t="s">
        <v>742</v>
      </c>
      <c r="H40" s="488">
        <v>10.39</v>
      </c>
      <c r="I40" s="489">
        <f t="shared" si="1"/>
        <v>10.66014</v>
      </c>
      <c r="J40" s="524"/>
    </row>
    <row r="41" spans="1:10" x14ac:dyDescent="0.25">
      <c r="A41" s="539" t="s">
        <v>752</v>
      </c>
      <c r="B41" s="484" t="s">
        <v>753</v>
      </c>
      <c r="C41" s="509" t="s">
        <v>656</v>
      </c>
      <c r="D41" s="490">
        <v>8.1999999999999993</v>
      </c>
      <c r="E41" s="484" t="s">
        <v>754</v>
      </c>
      <c r="F41" s="496" t="s">
        <v>755</v>
      </c>
      <c r="G41" s="484" t="s">
        <v>742</v>
      </c>
      <c r="H41" s="488">
        <v>8.2799999999999994</v>
      </c>
      <c r="I41" s="489">
        <f t="shared" si="1"/>
        <v>8.4952799999999993</v>
      </c>
      <c r="J41" s="524"/>
    </row>
    <row r="42" spans="1:10" x14ac:dyDescent="0.25">
      <c r="A42" s="539" t="s">
        <v>756</v>
      </c>
      <c r="B42" s="493" t="s">
        <v>757</v>
      </c>
      <c r="C42" s="509" t="s">
        <v>745</v>
      </c>
      <c r="D42" s="501"/>
      <c r="E42" s="491">
        <v>7.32</v>
      </c>
      <c r="F42" s="501" t="s">
        <v>758</v>
      </c>
      <c r="G42" s="484"/>
      <c r="H42" s="488">
        <v>7.37</v>
      </c>
      <c r="I42" s="489">
        <f t="shared" si="1"/>
        <v>7.5616200000000005</v>
      </c>
      <c r="J42" s="524"/>
    </row>
    <row r="43" spans="1:10" s="502" customFormat="1" ht="25.5" x14ac:dyDescent="0.25">
      <c r="A43" s="539" t="s">
        <v>759</v>
      </c>
      <c r="B43" s="493" t="s">
        <v>760</v>
      </c>
      <c r="C43" s="509" t="s">
        <v>745</v>
      </c>
      <c r="D43" s="501"/>
      <c r="E43" s="491">
        <v>5.0199999999999996</v>
      </c>
      <c r="F43" s="501" t="s">
        <v>761</v>
      </c>
      <c r="G43" s="484"/>
      <c r="H43" s="488">
        <v>5.0599999999999996</v>
      </c>
      <c r="I43" s="489">
        <f t="shared" si="1"/>
        <v>5.19156</v>
      </c>
      <c r="J43" s="524"/>
    </row>
    <row r="44" spans="1:10" s="502" customFormat="1" x14ac:dyDescent="0.25">
      <c r="A44" s="538" t="s">
        <v>762</v>
      </c>
      <c r="B44" s="484"/>
      <c r="C44" s="509"/>
      <c r="D44" s="490">
        <v>82.08</v>
      </c>
      <c r="E44" s="484"/>
      <c r="F44" s="496"/>
      <c r="G44" s="484"/>
      <c r="H44" s="488"/>
      <c r="I44" s="489">
        <f t="shared" si="1"/>
        <v>0</v>
      </c>
      <c r="J44" s="524"/>
    </row>
    <row r="45" spans="1:10" x14ac:dyDescent="0.25">
      <c r="A45" s="538" t="s">
        <v>763</v>
      </c>
      <c r="B45" s="483" t="s">
        <v>764</v>
      </c>
      <c r="C45" s="509" t="s">
        <v>656</v>
      </c>
      <c r="D45" s="490">
        <v>4.9000000000000004</v>
      </c>
      <c r="E45" s="484" t="s">
        <v>765</v>
      </c>
      <c r="F45" s="496" t="s">
        <v>766</v>
      </c>
      <c r="G45" s="484" t="s">
        <v>767</v>
      </c>
      <c r="H45" s="488">
        <v>4.7300000000000004</v>
      </c>
      <c r="I45" s="489">
        <f t="shared" si="1"/>
        <v>4.8529800000000005</v>
      </c>
      <c r="J45" s="524"/>
    </row>
    <row r="46" spans="1:10" x14ac:dyDescent="0.25">
      <c r="A46" s="538" t="s">
        <v>768</v>
      </c>
      <c r="B46" s="483" t="s">
        <v>769</v>
      </c>
      <c r="C46" s="509" t="s">
        <v>656</v>
      </c>
      <c r="D46" s="490">
        <v>15.2</v>
      </c>
      <c r="E46" s="484" t="s">
        <v>770</v>
      </c>
      <c r="F46" s="496" t="s">
        <v>771</v>
      </c>
      <c r="G46" s="497" t="s">
        <v>772</v>
      </c>
      <c r="H46" s="488">
        <v>15.36</v>
      </c>
      <c r="I46" s="489">
        <f t="shared" si="1"/>
        <v>15.759359999999999</v>
      </c>
      <c r="J46" s="524"/>
    </row>
    <row r="47" spans="1:10" x14ac:dyDescent="0.25">
      <c r="A47" s="524" t="s">
        <v>405</v>
      </c>
      <c r="B47" s="503" t="s">
        <v>773</v>
      </c>
      <c r="C47" s="524" t="s">
        <v>152</v>
      </c>
      <c r="D47" s="503"/>
      <c r="E47" s="484" t="s">
        <v>770</v>
      </c>
      <c r="F47" s="504" t="s">
        <v>774</v>
      </c>
      <c r="G47" s="484"/>
      <c r="H47" s="488"/>
      <c r="I47" s="489">
        <f t="shared" si="1"/>
        <v>0</v>
      </c>
      <c r="J47" s="524"/>
    </row>
    <row r="48" spans="1:10" x14ac:dyDescent="0.25">
      <c r="A48" s="538" t="s">
        <v>406</v>
      </c>
      <c r="B48" s="484"/>
      <c r="C48" s="509"/>
      <c r="D48" s="490"/>
      <c r="E48" s="484"/>
      <c r="F48" s="496"/>
      <c r="G48" s="484"/>
      <c r="H48" s="488"/>
      <c r="I48" s="489">
        <f t="shared" si="1"/>
        <v>0</v>
      </c>
      <c r="J48" s="524"/>
    </row>
    <row r="49" spans="1:10" x14ac:dyDescent="0.25">
      <c r="A49" s="539" t="s">
        <v>406</v>
      </c>
      <c r="B49" s="483" t="s">
        <v>407</v>
      </c>
      <c r="C49" s="509" t="s">
        <v>656</v>
      </c>
      <c r="D49" s="490">
        <v>5.32</v>
      </c>
      <c r="E49" s="484" t="s">
        <v>775</v>
      </c>
      <c r="F49" s="496" t="s">
        <v>776</v>
      </c>
      <c r="G49" s="498" t="s">
        <v>777</v>
      </c>
      <c r="H49" s="505">
        <v>5.93</v>
      </c>
      <c r="I49" s="489">
        <f t="shared" si="1"/>
        <v>6.0841799999999999</v>
      </c>
      <c r="J49" s="524"/>
    </row>
    <row r="50" spans="1:10" x14ac:dyDescent="0.25">
      <c r="A50" s="539" t="s">
        <v>778</v>
      </c>
      <c r="B50" s="483" t="s">
        <v>779</v>
      </c>
      <c r="C50" s="509" t="s">
        <v>745</v>
      </c>
      <c r="D50" s="490"/>
      <c r="E50" s="491">
        <v>7.32</v>
      </c>
      <c r="F50" s="496">
        <v>7.37</v>
      </c>
      <c r="G50" s="506"/>
      <c r="H50" s="488"/>
      <c r="I50" s="489">
        <f t="shared" si="1"/>
        <v>0</v>
      </c>
      <c r="J50" s="524"/>
    </row>
    <row r="51" spans="1:10" x14ac:dyDescent="0.25">
      <c r="A51" s="539" t="s">
        <v>780</v>
      </c>
      <c r="B51" s="484" t="s">
        <v>781</v>
      </c>
      <c r="C51" s="509" t="s">
        <v>656</v>
      </c>
      <c r="D51" s="490">
        <v>9.4</v>
      </c>
      <c r="E51" s="491" t="s">
        <v>782</v>
      </c>
      <c r="F51" s="496" t="s">
        <v>783</v>
      </c>
      <c r="G51" s="507" t="s">
        <v>784</v>
      </c>
      <c r="H51" s="508">
        <v>8.5399999999999991</v>
      </c>
      <c r="I51" s="489">
        <f t="shared" si="1"/>
        <v>8.7620399999999989</v>
      </c>
      <c r="J51" s="524"/>
    </row>
    <row r="52" spans="1:10" x14ac:dyDescent="0.25">
      <c r="A52" s="539" t="s">
        <v>785</v>
      </c>
      <c r="B52" s="483" t="s">
        <v>779</v>
      </c>
      <c r="C52" s="509" t="s">
        <v>745</v>
      </c>
      <c r="D52" s="490"/>
      <c r="E52" s="491">
        <v>7.32</v>
      </c>
      <c r="F52" s="496">
        <v>7.37</v>
      </c>
      <c r="G52" s="484"/>
      <c r="H52" s="488"/>
      <c r="I52" s="489">
        <f t="shared" si="1"/>
        <v>0</v>
      </c>
      <c r="J52" s="524"/>
    </row>
    <row r="53" spans="1:10" x14ac:dyDescent="0.25">
      <c r="A53" s="538" t="s">
        <v>786</v>
      </c>
      <c r="B53" s="484"/>
      <c r="C53" s="509"/>
      <c r="D53" s="490">
        <v>25</v>
      </c>
      <c r="E53" s="484"/>
      <c r="F53" s="496"/>
      <c r="G53" s="484"/>
      <c r="H53" s="488"/>
      <c r="I53" s="489">
        <f t="shared" si="1"/>
        <v>0</v>
      </c>
      <c r="J53" s="524"/>
    </row>
    <row r="54" spans="1:10" x14ac:dyDescent="0.25">
      <c r="A54" s="539" t="s">
        <v>787</v>
      </c>
      <c r="B54" s="484" t="s">
        <v>788</v>
      </c>
      <c r="C54" s="509" t="s">
        <v>656</v>
      </c>
      <c r="D54" s="490"/>
      <c r="E54" s="484" t="s">
        <v>789</v>
      </c>
      <c r="F54" s="496" t="s">
        <v>790</v>
      </c>
      <c r="G54" s="484"/>
      <c r="H54" s="488">
        <v>25.26</v>
      </c>
      <c r="I54" s="489">
        <f t="shared" si="1"/>
        <v>25.916760000000004</v>
      </c>
      <c r="J54" s="524"/>
    </row>
    <row r="55" spans="1:10" x14ac:dyDescent="0.25">
      <c r="A55" s="539" t="s">
        <v>791</v>
      </c>
      <c r="B55" s="484" t="s">
        <v>792</v>
      </c>
      <c r="C55" s="509" t="s">
        <v>656</v>
      </c>
      <c r="D55" s="490"/>
      <c r="E55" s="484" t="s">
        <v>789</v>
      </c>
      <c r="F55" s="496" t="s">
        <v>790</v>
      </c>
      <c r="G55" s="484"/>
      <c r="H55" s="488"/>
      <c r="I55" s="489"/>
      <c r="J55" s="524"/>
    </row>
    <row r="56" spans="1:10" x14ac:dyDescent="0.25">
      <c r="A56" s="538" t="s">
        <v>793</v>
      </c>
      <c r="B56" s="484"/>
      <c r="C56" s="509"/>
      <c r="D56" s="490"/>
      <c r="E56" s="484"/>
      <c r="F56" s="496"/>
      <c r="G56" s="484"/>
      <c r="H56" s="488"/>
      <c r="I56" s="489"/>
      <c r="J56" s="524"/>
    </row>
    <row r="57" spans="1:10" ht="25.5" x14ac:dyDescent="0.25">
      <c r="A57" s="539" t="s">
        <v>794</v>
      </c>
      <c r="B57" s="483" t="s">
        <v>795</v>
      </c>
      <c r="C57" s="509" t="s">
        <v>796</v>
      </c>
      <c r="D57" s="490">
        <v>50</v>
      </c>
      <c r="E57" s="484" t="s">
        <v>653</v>
      </c>
      <c r="F57" s="486">
        <v>50</v>
      </c>
      <c r="G57" s="484" t="s">
        <v>797</v>
      </c>
      <c r="H57" s="488"/>
      <c r="I57" s="489"/>
      <c r="J57" s="524"/>
    </row>
    <row r="58" spans="1:10" x14ac:dyDescent="0.25">
      <c r="A58" s="539" t="s">
        <v>798</v>
      </c>
      <c r="B58" s="483" t="s">
        <v>799</v>
      </c>
      <c r="C58" s="509" t="s">
        <v>800</v>
      </c>
      <c r="D58" s="490">
        <v>30.39</v>
      </c>
      <c r="E58" s="491">
        <v>30.48</v>
      </c>
      <c r="F58" s="486">
        <v>30.7</v>
      </c>
      <c r="G58" s="484" t="s">
        <v>797</v>
      </c>
      <c r="H58" s="488"/>
      <c r="I58" s="489"/>
      <c r="J58" s="524"/>
    </row>
    <row r="59" spans="1:10" x14ac:dyDescent="0.25">
      <c r="A59" s="538" t="s">
        <v>801</v>
      </c>
      <c r="B59" s="484"/>
      <c r="C59" s="509"/>
      <c r="D59" s="490"/>
      <c r="E59" s="484"/>
      <c r="F59" s="496"/>
      <c r="G59" s="484"/>
      <c r="H59" s="488"/>
      <c r="I59" s="489"/>
      <c r="J59" s="524"/>
    </row>
    <row r="60" spans="1:10" x14ac:dyDescent="0.25">
      <c r="A60" s="539" t="s">
        <v>802</v>
      </c>
      <c r="B60" s="483" t="s">
        <v>803</v>
      </c>
      <c r="C60" s="509" t="s">
        <v>656</v>
      </c>
      <c r="D60" s="490">
        <v>25</v>
      </c>
      <c r="E60" s="484" t="s">
        <v>789</v>
      </c>
      <c r="F60" s="496" t="s">
        <v>790</v>
      </c>
      <c r="G60" s="484"/>
      <c r="H60" s="488">
        <v>25.26</v>
      </c>
      <c r="I60" s="489">
        <f>H60*1.026</f>
        <v>25.916760000000004</v>
      </c>
      <c r="J60" s="524"/>
    </row>
    <row r="61" spans="1:10" x14ac:dyDescent="0.25">
      <c r="A61" s="539" t="s">
        <v>804</v>
      </c>
      <c r="B61" s="483" t="s">
        <v>805</v>
      </c>
      <c r="C61" s="509" t="s">
        <v>656</v>
      </c>
      <c r="D61" s="490"/>
      <c r="E61" s="484" t="s">
        <v>789</v>
      </c>
      <c r="F61" s="496" t="s">
        <v>790</v>
      </c>
      <c r="G61" s="484"/>
      <c r="H61" s="488">
        <v>25.26</v>
      </c>
      <c r="I61" s="489">
        <f>H61*1.026</f>
        <v>25.916760000000004</v>
      </c>
      <c r="J61" s="524"/>
    </row>
    <row r="62" spans="1:10" x14ac:dyDescent="0.25">
      <c r="A62" s="538" t="s">
        <v>806</v>
      </c>
      <c r="B62" s="484"/>
      <c r="C62" s="509"/>
      <c r="D62" s="490"/>
      <c r="E62" s="484"/>
      <c r="F62" s="496"/>
      <c r="G62" s="484"/>
      <c r="H62" s="488"/>
      <c r="I62" s="489"/>
      <c r="J62" s="524"/>
    </row>
    <row r="63" spans="1:10" ht="21.75" customHeight="1" x14ac:dyDescent="0.25">
      <c r="A63" s="540" t="s">
        <v>807</v>
      </c>
      <c r="B63" s="483" t="s">
        <v>808</v>
      </c>
      <c r="C63" s="509" t="s">
        <v>667</v>
      </c>
      <c r="D63" s="490">
        <v>269.60000000000002</v>
      </c>
      <c r="E63" s="491">
        <v>266.77999999999997</v>
      </c>
      <c r="F63" s="486">
        <v>268.70999999999998</v>
      </c>
      <c r="G63" s="509" t="s">
        <v>809</v>
      </c>
      <c r="H63" s="488"/>
      <c r="I63" s="489">
        <f>F63*1.026</f>
        <v>275.69646</v>
      </c>
      <c r="J63" s="524"/>
    </row>
    <row r="64" spans="1:10" ht="18" customHeight="1" x14ac:dyDescent="0.25">
      <c r="A64" s="540" t="s">
        <v>810</v>
      </c>
      <c r="B64" s="483" t="s">
        <v>811</v>
      </c>
      <c r="C64" s="509" t="s">
        <v>667</v>
      </c>
      <c r="D64" s="490">
        <v>386.11</v>
      </c>
      <c r="E64" s="491">
        <v>374.87</v>
      </c>
      <c r="F64" s="486">
        <v>377.58</v>
      </c>
      <c r="G64" s="509" t="s">
        <v>809</v>
      </c>
      <c r="H64" s="488"/>
      <c r="I64" s="489">
        <f t="shared" ref="I64:I72" si="2">F64*1.026</f>
        <v>387.39708000000002</v>
      </c>
      <c r="J64" s="524"/>
    </row>
    <row r="65" spans="1:10" ht="21.4" customHeight="1" x14ac:dyDescent="0.25">
      <c r="A65" s="540" t="s">
        <v>812</v>
      </c>
      <c r="B65" s="483" t="s">
        <v>813</v>
      </c>
      <c r="C65" s="509" t="s">
        <v>667</v>
      </c>
      <c r="D65" s="490">
        <v>445.92</v>
      </c>
      <c r="E65" s="491">
        <v>420.03</v>
      </c>
      <c r="F65" s="486">
        <v>423.06</v>
      </c>
      <c r="G65" s="509" t="s">
        <v>809</v>
      </c>
      <c r="H65" s="488"/>
      <c r="I65" s="489">
        <f t="shared" si="2"/>
        <v>434.05956000000003</v>
      </c>
      <c r="J65" s="524"/>
    </row>
    <row r="66" spans="1:10" ht="21.75" customHeight="1" x14ac:dyDescent="0.25">
      <c r="A66" s="540" t="s">
        <v>814</v>
      </c>
      <c r="B66" s="483" t="s">
        <v>815</v>
      </c>
      <c r="C66" s="509" t="s">
        <v>667</v>
      </c>
      <c r="D66" s="490">
        <v>505.61</v>
      </c>
      <c r="E66" s="491">
        <v>510.82</v>
      </c>
      <c r="F66" s="486">
        <v>514.51</v>
      </c>
      <c r="G66" s="509" t="s">
        <v>809</v>
      </c>
      <c r="H66" s="488"/>
      <c r="I66" s="489">
        <f t="shared" si="2"/>
        <v>527.88725999999997</v>
      </c>
      <c r="J66" s="524"/>
    </row>
    <row r="67" spans="1:10" ht="18.75" customHeight="1" x14ac:dyDescent="0.25">
      <c r="A67" s="540" t="s">
        <v>816</v>
      </c>
      <c r="B67" s="483" t="s">
        <v>817</v>
      </c>
      <c r="C67" s="509" t="s">
        <v>667</v>
      </c>
      <c r="D67" s="490">
        <v>587.51</v>
      </c>
      <c r="E67" s="491">
        <v>606.30999999999995</v>
      </c>
      <c r="F67" s="486">
        <v>610.69000000000005</v>
      </c>
      <c r="G67" s="509" t="s">
        <v>809</v>
      </c>
      <c r="H67" s="488"/>
      <c r="I67" s="489">
        <f t="shared" si="2"/>
        <v>626.56794000000002</v>
      </c>
      <c r="J67" s="524"/>
    </row>
    <row r="68" spans="1:10" ht="22.9" customHeight="1" x14ac:dyDescent="0.25">
      <c r="A68" s="540" t="s">
        <v>818</v>
      </c>
      <c r="B68" s="483" t="s">
        <v>819</v>
      </c>
      <c r="C68" s="509" t="s">
        <v>667</v>
      </c>
      <c r="D68" s="490">
        <v>286.95999999999998</v>
      </c>
      <c r="E68" s="491">
        <v>289.14</v>
      </c>
      <c r="F68" s="486">
        <v>291.23</v>
      </c>
      <c r="G68" s="509" t="s">
        <v>809</v>
      </c>
      <c r="H68" s="488"/>
      <c r="I68" s="489">
        <f t="shared" si="2"/>
        <v>298.80198000000001</v>
      </c>
      <c r="J68" s="524"/>
    </row>
    <row r="69" spans="1:10" ht="18" customHeight="1" x14ac:dyDescent="0.25">
      <c r="A69" s="540" t="s">
        <v>820</v>
      </c>
      <c r="B69" s="483" t="s">
        <v>821</v>
      </c>
      <c r="C69" s="509" t="s">
        <v>667</v>
      </c>
      <c r="D69" s="490">
        <v>370.89</v>
      </c>
      <c r="E69" s="491">
        <v>357.29</v>
      </c>
      <c r="F69" s="486">
        <v>359.87</v>
      </c>
      <c r="G69" s="509" t="s">
        <v>809</v>
      </c>
      <c r="H69" s="488"/>
      <c r="I69" s="489">
        <f t="shared" si="2"/>
        <v>369.22662000000003</v>
      </c>
      <c r="J69" s="524"/>
    </row>
    <row r="70" spans="1:10" ht="25.5" x14ac:dyDescent="0.25">
      <c r="A70" s="540" t="s">
        <v>822</v>
      </c>
      <c r="B70" s="483" t="s">
        <v>823</v>
      </c>
      <c r="C70" s="509" t="s">
        <v>667</v>
      </c>
      <c r="D70" s="490">
        <v>404.78</v>
      </c>
      <c r="E70" s="491">
        <v>397.92</v>
      </c>
      <c r="F70" s="486">
        <v>400.79</v>
      </c>
      <c r="G70" s="509" t="s">
        <v>809</v>
      </c>
      <c r="H70" s="488"/>
      <c r="I70" s="489">
        <f t="shared" si="2"/>
        <v>411.21054000000004</v>
      </c>
      <c r="J70" s="524"/>
    </row>
    <row r="71" spans="1:10" ht="19.149999999999999" customHeight="1" x14ac:dyDescent="0.25">
      <c r="A71" s="540" t="s">
        <v>824</v>
      </c>
      <c r="B71" s="483" t="s">
        <v>825</v>
      </c>
      <c r="C71" s="509" t="s">
        <v>667</v>
      </c>
      <c r="D71" s="490">
        <v>521.79999999999995</v>
      </c>
      <c r="E71" s="491">
        <v>495.98</v>
      </c>
      <c r="F71" s="486">
        <v>499.56</v>
      </c>
      <c r="G71" s="509" t="s">
        <v>809</v>
      </c>
      <c r="H71" s="488"/>
      <c r="I71" s="489">
        <f t="shared" si="2"/>
        <v>512.54856000000007</v>
      </c>
      <c r="J71" s="524"/>
    </row>
    <row r="72" spans="1:10" ht="38.25" x14ac:dyDescent="0.25">
      <c r="A72" s="540" t="s">
        <v>826</v>
      </c>
      <c r="B72" s="483" t="s">
        <v>827</v>
      </c>
      <c r="C72" s="509" t="s">
        <v>667</v>
      </c>
      <c r="D72" s="490">
        <v>526.14</v>
      </c>
      <c r="E72" s="491">
        <v>507.17</v>
      </c>
      <c r="F72" s="486">
        <v>510.83</v>
      </c>
      <c r="G72" s="509" t="s">
        <v>809</v>
      </c>
      <c r="H72" s="488"/>
      <c r="I72" s="489">
        <f t="shared" si="2"/>
        <v>524.11158</v>
      </c>
      <c r="J72" s="524"/>
    </row>
    <row r="73" spans="1:10" x14ac:dyDescent="0.25">
      <c r="A73" s="541" t="s">
        <v>426</v>
      </c>
      <c r="B73" s="483"/>
      <c r="C73" s="509"/>
      <c r="D73" s="490"/>
      <c r="E73" s="484"/>
      <c r="F73" s="496"/>
      <c r="G73" s="484"/>
      <c r="H73" s="488"/>
      <c r="I73" s="489"/>
      <c r="J73" s="524"/>
    </row>
    <row r="74" spans="1:10" ht="25.5" x14ac:dyDescent="0.25">
      <c r="A74" s="540" t="s">
        <v>828</v>
      </c>
      <c r="B74" s="483" t="s">
        <v>829</v>
      </c>
      <c r="C74" s="509" t="s">
        <v>656</v>
      </c>
      <c r="D74" s="490">
        <v>5.13</v>
      </c>
      <c r="E74" s="484" t="s">
        <v>830</v>
      </c>
      <c r="F74" s="496" t="s">
        <v>831</v>
      </c>
      <c r="G74" s="494" t="s">
        <v>832</v>
      </c>
      <c r="H74" s="488">
        <v>5.18</v>
      </c>
      <c r="I74" s="489">
        <f t="shared" ref="I74:I85" si="3">H74*1.026</f>
        <v>5.3146800000000001</v>
      </c>
      <c r="J74" s="524"/>
    </row>
    <row r="75" spans="1:10" x14ac:dyDescent="0.25">
      <c r="A75" s="540" t="s">
        <v>833</v>
      </c>
      <c r="B75" s="483" t="s">
        <v>834</v>
      </c>
      <c r="C75" s="509" t="s">
        <v>656</v>
      </c>
      <c r="D75" s="490"/>
      <c r="E75" s="484" t="s">
        <v>830</v>
      </c>
      <c r="F75" s="496" t="s">
        <v>831</v>
      </c>
      <c r="G75" s="484"/>
      <c r="H75" s="488"/>
      <c r="I75" s="489">
        <f t="shared" si="3"/>
        <v>0</v>
      </c>
      <c r="J75" s="524"/>
    </row>
    <row r="76" spans="1:10" ht="38.25" x14ac:dyDescent="0.25">
      <c r="A76" s="540" t="s">
        <v>835</v>
      </c>
      <c r="B76" s="483" t="s">
        <v>836</v>
      </c>
      <c r="C76" s="509" t="s">
        <v>667</v>
      </c>
      <c r="D76" s="490">
        <v>400</v>
      </c>
      <c r="E76" s="491">
        <v>401.2</v>
      </c>
      <c r="F76" s="496" t="s">
        <v>837</v>
      </c>
      <c r="G76" s="509" t="s">
        <v>809</v>
      </c>
      <c r="H76" s="488">
        <v>404.1</v>
      </c>
      <c r="I76" s="489">
        <f t="shared" si="3"/>
        <v>414.60660000000001</v>
      </c>
      <c r="J76" s="524"/>
    </row>
    <row r="77" spans="1:10" x14ac:dyDescent="0.25">
      <c r="A77" s="540" t="s">
        <v>838</v>
      </c>
      <c r="B77" s="483" t="s">
        <v>839</v>
      </c>
      <c r="C77" s="509" t="s">
        <v>667</v>
      </c>
      <c r="D77" s="490"/>
      <c r="E77" s="491">
        <v>401.2</v>
      </c>
      <c r="F77" s="496" t="s">
        <v>837</v>
      </c>
      <c r="G77" s="484"/>
      <c r="H77" s="488"/>
      <c r="I77" s="489">
        <f t="shared" si="3"/>
        <v>0</v>
      </c>
      <c r="J77" s="524"/>
    </row>
    <row r="78" spans="1:10" x14ac:dyDescent="0.25">
      <c r="A78" s="538" t="s">
        <v>840</v>
      </c>
      <c r="B78" s="484"/>
      <c r="C78" s="509"/>
      <c r="D78" s="490"/>
      <c r="E78" s="484"/>
      <c r="F78" s="496"/>
      <c r="G78" s="484"/>
      <c r="H78" s="488"/>
      <c r="I78" s="489">
        <f t="shared" si="3"/>
        <v>0</v>
      </c>
      <c r="J78" s="524"/>
    </row>
    <row r="79" spans="1:10" ht="25.5" x14ac:dyDescent="0.25">
      <c r="A79" s="540" t="s">
        <v>841</v>
      </c>
      <c r="B79" s="483" t="s">
        <v>842</v>
      </c>
      <c r="C79" s="509" t="s">
        <v>843</v>
      </c>
      <c r="D79" s="490">
        <v>65</v>
      </c>
      <c r="E79" s="484" t="s">
        <v>653</v>
      </c>
      <c r="F79" s="496" t="s">
        <v>844</v>
      </c>
      <c r="G79" s="484" t="s">
        <v>845</v>
      </c>
      <c r="H79" s="488">
        <v>65</v>
      </c>
      <c r="I79" s="489">
        <f t="shared" si="3"/>
        <v>66.69</v>
      </c>
      <c r="J79" s="523" t="s">
        <v>1034</v>
      </c>
    </row>
    <row r="80" spans="1:10" x14ac:dyDescent="0.25">
      <c r="A80" s="540" t="s">
        <v>846</v>
      </c>
      <c r="B80" s="483" t="s">
        <v>847</v>
      </c>
      <c r="C80" s="509" t="s">
        <v>724</v>
      </c>
      <c r="D80" s="490"/>
      <c r="E80" s="484" t="s">
        <v>653</v>
      </c>
      <c r="F80" s="496">
        <v>120</v>
      </c>
      <c r="G80" s="484" t="s">
        <v>845</v>
      </c>
      <c r="H80" s="488"/>
      <c r="I80" s="489">
        <f t="shared" si="3"/>
        <v>0</v>
      </c>
      <c r="J80" s="523" t="s">
        <v>1035</v>
      </c>
    </row>
    <row r="81" spans="1:10" x14ac:dyDescent="0.25">
      <c r="A81" s="540" t="s">
        <v>439</v>
      </c>
      <c r="B81" s="483" t="s">
        <v>848</v>
      </c>
      <c r="C81" s="509" t="s">
        <v>656</v>
      </c>
      <c r="D81" s="490">
        <v>8</v>
      </c>
      <c r="E81" s="484" t="s">
        <v>653</v>
      </c>
      <c r="F81" s="496" t="s">
        <v>849</v>
      </c>
      <c r="G81" s="484" t="s">
        <v>845</v>
      </c>
      <c r="H81" s="488">
        <v>15</v>
      </c>
      <c r="I81" s="489">
        <f t="shared" si="3"/>
        <v>15.39</v>
      </c>
      <c r="J81" s="524"/>
    </row>
    <row r="82" spans="1:10" x14ac:dyDescent="0.25">
      <c r="A82" s="540" t="s">
        <v>850</v>
      </c>
      <c r="B82" s="483" t="s">
        <v>851</v>
      </c>
      <c r="C82" s="509" t="s">
        <v>656</v>
      </c>
      <c r="D82" s="490">
        <v>5.5</v>
      </c>
      <c r="E82" s="484" t="s">
        <v>653</v>
      </c>
      <c r="F82" s="496" t="s">
        <v>852</v>
      </c>
      <c r="G82" s="484" t="s">
        <v>845</v>
      </c>
      <c r="H82" s="488">
        <v>12.5</v>
      </c>
      <c r="I82" s="489">
        <f t="shared" si="3"/>
        <v>12.825000000000001</v>
      </c>
      <c r="J82" s="524"/>
    </row>
    <row r="83" spans="1:10" x14ac:dyDescent="0.25">
      <c r="A83" s="538" t="s">
        <v>853</v>
      </c>
      <c r="B83" s="484"/>
      <c r="C83" s="509"/>
      <c r="D83" s="490">
        <v>25</v>
      </c>
      <c r="E83" s="484"/>
      <c r="F83" s="496"/>
      <c r="G83" s="484"/>
      <c r="H83" s="488"/>
      <c r="I83" s="489">
        <f t="shared" si="3"/>
        <v>0</v>
      </c>
      <c r="J83" s="524"/>
    </row>
    <row r="84" spans="1:10" x14ac:dyDescent="0.25">
      <c r="A84" s="539" t="s">
        <v>854</v>
      </c>
      <c r="B84" s="483" t="s">
        <v>855</v>
      </c>
      <c r="C84" s="509" t="s">
        <v>656</v>
      </c>
      <c r="D84" s="490"/>
      <c r="E84" s="484" t="s">
        <v>789</v>
      </c>
      <c r="F84" s="496" t="s">
        <v>790</v>
      </c>
      <c r="G84" s="484"/>
      <c r="H84" s="488">
        <v>25.26</v>
      </c>
      <c r="I84" s="489">
        <f t="shared" si="3"/>
        <v>25.916760000000004</v>
      </c>
      <c r="J84" s="524"/>
    </row>
    <row r="85" spans="1:10" x14ac:dyDescent="0.25">
      <c r="A85" s="539" t="s">
        <v>856</v>
      </c>
      <c r="B85" s="483" t="s">
        <v>857</v>
      </c>
      <c r="C85" s="509" t="s">
        <v>656</v>
      </c>
      <c r="D85" s="490"/>
      <c r="E85" s="484" t="s">
        <v>789</v>
      </c>
      <c r="F85" s="496" t="s">
        <v>790</v>
      </c>
      <c r="G85" s="484"/>
      <c r="H85" s="488">
        <v>25.26</v>
      </c>
      <c r="I85" s="489">
        <f t="shared" si="3"/>
        <v>25.916760000000004</v>
      </c>
      <c r="J85" s="524"/>
    </row>
    <row r="86" spans="1:10" x14ac:dyDescent="0.25">
      <c r="A86" s="538" t="s">
        <v>858</v>
      </c>
      <c r="B86" s="484"/>
      <c r="C86" s="509"/>
      <c r="D86" s="490"/>
      <c r="E86" s="484"/>
      <c r="F86" s="496"/>
      <c r="G86" s="484"/>
      <c r="H86" s="488"/>
      <c r="I86" s="489"/>
      <c r="J86" s="524"/>
    </row>
    <row r="87" spans="1:10" ht="16.5" customHeight="1" x14ac:dyDescent="0.25">
      <c r="A87" s="540" t="s">
        <v>859</v>
      </c>
      <c r="B87" s="483" t="s">
        <v>860</v>
      </c>
      <c r="C87" s="509" t="s">
        <v>745</v>
      </c>
      <c r="D87" s="490">
        <v>228.1</v>
      </c>
      <c r="E87" s="491">
        <v>231.11</v>
      </c>
      <c r="F87" s="486">
        <v>232.78</v>
      </c>
      <c r="G87" s="509" t="s">
        <v>809</v>
      </c>
      <c r="H87" s="488"/>
      <c r="I87" s="489">
        <f t="shared" ref="I87:I112" si="4">F87*1.026</f>
        <v>238.83228</v>
      </c>
      <c r="J87" s="524"/>
    </row>
    <row r="88" spans="1:10" ht="20.25" customHeight="1" x14ac:dyDescent="0.25">
      <c r="A88" s="540" t="s">
        <v>861</v>
      </c>
      <c r="B88" s="483" t="s">
        <v>862</v>
      </c>
      <c r="C88" s="509" t="s">
        <v>667</v>
      </c>
      <c r="D88" s="490">
        <v>285.19</v>
      </c>
      <c r="E88" s="491">
        <v>313.08999999999997</v>
      </c>
      <c r="F88" s="486">
        <v>315.35000000000002</v>
      </c>
      <c r="G88" s="509" t="s">
        <v>809</v>
      </c>
      <c r="H88" s="488"/>
      <c r="I88" s="489">
        <f t="shared" si="4"/>
        <v>323.54910000000001</v>
      </c>
      <c r="J88" s="524"/>
    </row>
    <row r="89" spans="1:10" ht="23.65" customHeight="1" x14ac:dyDescent="0.25">
      <c r="A89" s="540" t="s">
        <v>863</v>
      </c>
      <c r="B89" s="483" t="s">
        <v>864</v>
      </c>
      <c r="C89" s="509" t="s">
        <v>667</v>
      </c>
      <c r="D89" s="490">
        <v>247.74</v>
      </c>
      <c r="E89" s="491">
        <v>241.39</v>
      </c>
      <c r="F89" s="486">
        <v>243.13</v>
      </c>
      <c r="G89" s="509" t="s">
        <v>809</v>
      </c>
      <c r="H89" s="488"/>
      <c r="I89" s="489">
        <f t="shared" si="4"/>
        <v>249.45138</v>
      </c>
      <c r="J89" s="524"/>
    </row>
    <row r="90" spans="1:10" ht="18.75" customHeight="1" x14ac:dyDescent="0.25">
      <c r="A90" s="540" t="s">
        <v>865</v>
      </c>
      <c r="B90" s="483" t="s">
        <v>866</v>
      </c>
      <c r="C90" s="509" t="s">
        <v>667</v>
      </c>
      <c r="D90" s="490">
        <v>305</v>
      </c>
      <c r="E90" s="491">
        <v>323.37</v>
      </c>
      <c r="F90" s="486">
        <v>325.7</v>
      </c>
      <c r="G90" s="509" t="s">
        <v>809</v>
      </c>
      <c r="H90" s="488"/>
      <c r="I90" s="489">
        <f t="shared" si="4"/>
        <v>334.16820000000001</v>
      </c>
      <c r="J90" s="524"/>
    </row>
    <row r="91" spans="1:10" ht="15.75" customHeight="1" x14ac:dyDescent="0.25">
      <c r="A91" s="540" t="s">
        <v>867</v>
      </c>
      <c r="B91" s="483" t="s">
        <v>868</v>
      </c>
      <c r="C91" s="509" t="s">
        <v>667</v>
      </c>
      <c r="D91" s="490">
        <v>314.64</v>
      </c>
      <c r="E91" s="491">
        <v>326.22000000000003</v>
      </c>
      <c r="F91" s="486">
        <v>328.58</v>
      </c>
      <c r="G91" s="509" t="s">
        <v>809</v>
      </c>
      <c r="H91" s="488"/>
      <c r="I91" s="489">
        <f t="shared" si="4"/>
        <v>337.12308000000002</v>
      </c>
      <c r="J91" s="524"/>
    </row>
    <row r="92" spans="1:10" ht="24" customHeight="1" x14ac:dyDescent="0.25">
      <c r="A92" s="540" t="s">
        <v>869</v>
      </c>
      <c r="B92" s="483" t="s">
        <v>870</v>
      </c>
      <c r="C92" s="509" t="s">
        <v>667</v>
      </c>
      <c r="D92" s="490">
        <v>372</v>
      </c>
      <c r="E92" s="491">
        <v>408.19</v>
      </c>
      <c r="F92" s="486">
        <v>411.14</v>
      </c>
      <c r="G92" s="509" t="s">
        <v>809</v>
      </c>
      <c r="H92" s="488"/>
      <c r="I92" s="489">
        <f t="shared" si="4"/>
        <v>421.82963999999998</v>
      </c>
      <c r="J92" s="524"/>
    </row>
    <row r="93" spans="1:10" ht="16.149999999999999" customHeight="1" x14ac:dyDescent="0.25">
      <c r="A93" s="540" t="s">
        <v>871</v>
      </c>
      <c r="B93" s="483" t="s">
        <v>872</v>
      </c>
      <c r="C93" s="509" t="s">
        <v>667</v>
      </c>
      <c r="D93" s="490">
        <v>340.03</v>
      </c>
      <c r="E93" s="491">
        <v>336.5</v>
      </c>
      <c r="F93" s="486">
        <v>338.93</v>
      </c>
      <c r="G93" s="509" t="s">
        <v>809</v>
      </c>
      <c r="H93" s="488"/>
      <c r="I93" s="489">
        <f t="shared" si="4"/>
        <v>347.74218000000002</v>
      </c>
      <c r="J93" s="524"/>
    </row>
    <row r="94" spans="1:10" ht="22.9" customHeight="1" x14ac:dyDescent="0.25">
      <c r="A94" s="540" t="s">
        <v>873</v>
      </c>
      <c r="B94" s="483" t="s">
        <v>874</v>
      </c>
      <c r="C94" s="509" t="s">
        <v>667</v>
      </c>
      <c r="D94" s="490">
        <v>397</v>
      </c>
      <c r="E94" s="491">
        <v>418.47</v>
      </c>
      <c r="F94" s="486">
        <v>421.49</v>
      </c>
      <c r="G94" s="509" t="s">
        <v>809</v>
      </c>
      <c r="H94" s="488"/>
      <c r="I94" s="489">
        <f t="shared" si="4"/>
        <v>432.44874000000004</v>
      </c>
      <c r="J94" s="524"/>
    </row>
    <row r="95" spans="1:10" ht="25.15" customHeight="1" x14ac:dyDescent="0.25">
      <c r="A95" s="540" t="s">
        <v>875</v>
      </c>
      <c r="B95" s="483" t="s">
        <v>876</v>
      </c>
      <c r="C95" s="509" t="s">
        <v>667</v>
      </c>
      <c r="D95" s="490">
        <v>384.83</v>
      </c>
      <c r="E95" s="491">
        <v>375.68</v>
      </c>
      <c r="F95" s="486">
        <v>378.39</v>
      </c>
      <c r="G95" s="509" t="s">
        <v>809</v>
      </c>
      <c r="H95" s="488"/>
      <c r="I95" s="489">
        <f t="shared" si="4"/>
        <v>388.22814</v>
      </c>
      <c r="J95" s="524"/>
    </row>
    <row r="96" spans="1:10" ht="20.25" customHeight="1" x14ac:dyDescent="0.25">
      <c r="A96" s="540" t="s">
        <v>877</v>
      </c>
      <c r="B96" s="483" t="s">
        <v>878</v>
      </c>
      <c r="C96" s="509" t="s">
        <v>667</v>
      </c>
      <c r="D96" s="490">
        <v>455</v>
      </c>
      <c r="E96" s="491">
        <v>457.66</v>
      </c>
      <c r="F96" s="486">
        <v>460.96</v>
      </c>
      <c r="G96" s="509" t="s">
        <v>809</v>
      </c>
      <c r="H96" s="488"/>
      <c r="I96" s="489">
        <f t="shared" si="4"/>
        <v>472.94495999999998</v>
      </c>
      <c r="J96" s="524"/>
    </row>
    <row r="97" spans="1:10" ht="20.25" customHeight="1" x14ac:dyDescent="0.25">
      <c r="A97" s="540" t="s">
        <v>879</v>
      </c>
      <c r="B97" s="483" t="s">
        <v>880</v>
      </c>
      <c r="C97" s="509" t="s">
        <v>667</v>
      </c>
      <c r="D97" s="490">
        <v>454.8</v>
      </c>
      <c r="E97" s="491">
        <v>424.98</v>
      </c>
      <c r="F97" s="486">
        <v>428.05</v>
      </c>
      <c r="G97" s="509" t="s">
        <v>809</v>
      </c>
      <c r="H97" s="488"/>
      <c r="I97" s="489">
        <f t="shared" si="4"/>
        <v>439.17930000000001</v>
      </c>
      <c r="J97" s="524"/>
    </row>
    <row r="98" spans="1:10" ht="17.649999999999999" customHeight="1" x14ac:dyDescent="0.25">
      <c r="A98" s="540" t="s">
        <v>881</v>
      </c>
      <c r="B98" s="483" t="s">
        <v>882</v>
      </c>
      <c r="C98" s="509" t="s">
        <v>667</v>
      </c>
      <c r="D98" s="490">
        <v>512</v>
      </c>
      <c r="E98" s="491">
        <v>506.95</v>
      </c>
      <c r="F98" s="486">
        <v>510.61</v>
      </c>
      <c r="G98" s="509" t="s">
        <v>809</v>
      </c>
      <c r="H98" s="488"/>
      <c r="I98" s="489">
        <f t="shared" si="4"/>
        <v>523.88585999999998</v>
      </c>
      <c r="J98" s="524"/>
    </row>
    <row r="99" spans="1:10" ht="21.75" customHeight="1" x14ac:dyDescent="0.25">
      <c r="A99" s="540" t="s">
        <v>883</v>
      </c>
      <c r="B99" s="483" t="s">
        <v>884</v>
      </c>
      <c r="C99" s="509" t="s">
        <v>667</v>
      </c>
      <c r="D99" s="490">
        <v>574.24</v>
      </c>
      <c r="E99" s="491">
        <v>315.58999999999997</v>
      </c>
      <c r="F99" s="486">
        <v>317.87</v>
      </c>
      <c r="G99" s="509" t="s">
        <v>809</v>
      </c>
      <c r="H99" s="488"/>
      <c r="I99" s="489">
        <f t="shared" si="4"/>
        <v>326.13461999999998</v>
      </c>
      <c r="J99" s="524"/>
    </row>
    <row r="100" spans="1:10" ht="17.649999999999999" customHeight="1" x14ac:dyDescent="0.25">
      <c r="A100" s="540" t="s">
        <v>885</v>
      </c>
      <c r="B100" s="483" t="s">
        <v>886</v>
      </c>
      <c r="C100" s="509" t="s">
        <v>667</v>
      </c>
      <c r="D100" s="490">
        <v>574.24</v>
      </c>
      <c r="E100" s="491">
        <v>389.15</v>
      </c>
      <c r="F100" s="486">
        <v>391.96</v>
      </c>
      <c r="G100" s="509" t="s">
        <v>809</v>
      </c>
      <c r="H100" s="488"/>
      <c r="I100" s="489">
        <f t="shared" si="4"/>
        <v>402.15096</v>
      </c>
      <c r="J100" s="524"/>
    </row>
    <row r="101" spans="1:10" ht="24" customHeight="1" x14ac:dyDescent="0.25">
      <c r="A101" s="540" t="s">
        <v>887</v>
      </c>
      <c r="B101" s="483" t="s">
        <v>888</v>
      </c>
      <c r="C101" s="509" t="s">
        <v>667</v>
      </c>
      <c r="D101" s="490">
        <v>307.43</v>
      </c>
      <c r="E101" s="491">
        <v>328.34</v>
      </c>
      <c r="F101" s="486">
        <v>330.71</v>
      </c>
      <c r="G101" s="509" t="s">
        <v>809</v>
      </c>
      <c r="H101" s="488"/>
      <c r="I101" s="489">
        <f t="shared" si="4"/>
        <v>339.30845999999997</v>
      </c>
      <c r="J101" s="524"/>
    </row>
    <row r="102" spans="1:10" ht="19.899999999999999" customHeight="1" x14ac:dyDescent="0.25">
      <c r="A102" s="540" t="s">
        <v>889</v>
      </c>
      <c r="B102" s="483" t="s">
        <v>890</v>
      </c>
      <c r="C102" s="509" t="s">
        <v>667</v>
      </c>
      <c r="D102" s="490">
        <v>383</v>
      </c>
      <c r="E102" s="491">
        <v>401.9</v>
      </c>
      <c r="F102" s="486">
        <v>404.8</v>
      </c>
      <c r="G102" s="509" t="s">
        <v>809</v>
      </c>
      <c r="H102" s="488"/>
      <c r="I102" s="489">
        <f t="shared" si="4"/>
        <v>415.32480000000004</v>
      </c>
      <c r="J102" s="524"/>
    </row>
    <row r="103" spans="1:10" ht="22.5" customHeight="1" x14ac:dyDescent="0.25">
      <c r="A103" s="540" t="s">
        <v>891</v>
      </c>
      <c r="B103" s="483" t="s">
        <v>892</v>
      </c>
      <c r="C103" s="509" t="s">
        <v>667</v>
      </c>
      <c r="D103" s="490">
        <v>337.36</v>
      </c>
      <c r="E103" s="491">
        <v>392.29</v>
      </c>
      <c r="F103" s="486">
        <v>395.12</v>
      </c>
      <c r="G103" s="509" t="s">
        <v>809</v>
      </c>
      <c r="H103" s="488"/>
      <c r="I103" s="489">
        <f t="shared" si="4"/>
        <v>405.39312000000001</v>
      </c>
      <c r="J103" s="524"/>
    </row>
    <row r="104" spans="1:10" ht="22.9" customHeight="1" x14ac:dyDescent="0.25">
      <c r="A104" s="540" t="s">
        <v>893</v>
      </c>
      <c r="B104" s="483" t="s">
        <v>894</v>
      </c>
      <c r="C104" s="509" t="s">
        <v>667</v>
      </c>
      <c r="D104" s="490">
        <v>412.84</v>
      </c>
      <c r="E104" s="491">
        <v>465.86</v>
      </c>
      <c r="F104" s="486">
        <v>469.22</v>
      </c>
      <c r="G104" s="509" t="s">
        <v>809</v>
      </c>
      <c r="H104" s="488"/>
      <c r="I104" s="489">
        <f t="shared" si="4"/>
        <v>481.41972000000004</v>
      </c>
      <c r="J104" s="524"/>
    </row>
    <row r="105" spans="1:10" ht="15.4" customHeight="1" x14ac:dyDescent="0.25">
      <c r="A105" s="540" t="s">
        <v>895</v>
      </c>
      <c r="B105" s="483" t="s">
        <v>896</v>
      </c>
      <c r="C105" s="509" t="s">
        <v>667</v>
      </c>
      <c r="D105" s="490">
        <v>400.55</v>
      </c>
      <c r="E105" s="491">
        <v>440.21</v>
      </c>
      <c r="F105" s="486">
        <v>443.39</v>
      </c>
      <c r="G105" s="509" t="s">
        <v>809</v>
      </c>
      <c r="H105" s="488"/>
      <c r="I105" s="489">
        <f t="shared" si="4"/>
        <v>454.91813999999999</v>
      </c>
      <c r="J105" s="524"/>
    </row>
    <row r="106" spans="1:10" ht="21.75" customHeight="1" x14ac:dyDescent="0.25">
      <c r="A106" s="540" t="s">
        <v>897</v>
      </c>
      <c r="B106" s="483" t="s">
        <v>898</v>
      </c>
      <c r="C106" s="509" t="s">
        <v>667</v>
      </c>
      <c r="D106" s="490">
        <v>476.02</v>
      </c>
      <c r="E106" s="491">
        <v>513.78</v>
      </c>
      <c r="F106" s="486">
        <v>517.49</v>
      </c>
      <c r="G106" s="509" t="s">
        <v>809</v>
      </c>
      <c r="H106" s="488"/>
      <c r="I106" s="489">
        <f t="shared" si="4"/>
        <v>530.94474000000002</v>
      </c>
      <c r="J106" s="524"/>
    </row>
    <row r="107" spans="1:10" ht="18.75" customHeight="1" x14ac:dyDescent="0.25">
      <c r="A107" s="540" t="s">
        <v>899</v>
      </c>
      <c r="B107" s="483" t="s">
        <v>900</v>
      </c>
      <c r="C107" s="509" t="s">
        <v>667</v>
      </c>
      <c r="D107" s="490">
        <v>452.35</v>
      </c>
      <c r="E107" s="491">
        <v>515.42999999999995</v>
      </c>
      <c r="F107" s="486">
        <v>519.15</v>
      </c>
      <c r="G107" s="509" t="s">
        <v>809</v>
      </c>
      <c r="H107" s="488"/>
      <c r="I107" s="489">
        <f t="shared" si="4"/>
        <v>532.64789999999994</v>
      </c>
      <c r="J107" s="524"/>
    </row>
    <row r="108" spans="1:10" ht="18" customHeight="1" x14ac:dyDescent="0.25">
      <c r="A108" s="540" t="s">
        <v>901</v>
      </c>
      <c r="B108" s="483" t="s">
        <v>902</v>
      </c>
      <c r="C108" s="509" t="s">
        <v>667</v>
      </c>
      <c r="D108" s="490">
        <v>528</v>
      </c>
      <c r="E108" s="491">
        <v>588.99</v>
      </c>
      <c r="F108" s="486">
        <v>593.24</v>
      </c>
      <c r="G108" s="509" t="s">
        <v>809</v>
      </c>
      <c r="H108" s="488"/>
      <c r="I108" s="489">
        <f t="shared" si="4"/>
        <v>608.66424000000006</v>
      </c>
      <c r="J108" s="524"/>
    </row>
    <row r="109" spans="1:10" ht="21.4" customHeight="1" x14ac:dyDescent="0.25">
      <c r="A109" s="540" t="s">
        <v>903</v>
      </c>
      <c r="B109" s="483" t="s">
        <v>904</v>
      </c>
      <c r="C109" s="509" t="s">
        <v>667</v>
      </c>
      <c r="D109" s="490">
        <v>543.72</v>
      </c>
      <c r="E109" s="491">
        <v>608.07000000000005</v>
      </c>
      <c r="F109" s="486">
        <v>612.46</v>
      </c>
      <c r="G109" s="509" t="s">
        <v>809</v>
      </c>
      <c r="H109" s="488"/>
      <c r="I109" s="489">
        <f t="shared" si="4"/>
        <v>628.38396</v>
      </c>
      <c r="J109" s="524"/>
    </row>
    <row r="110" spans="1:10" ht="20.25" customHeight="1" x14ac:dyDescent="0.25">
      <c r="A110" s="540" t="s">
        <v>905</v>
      </c>
      <c r="B110" s="483" t="s">
        <v>906</v>
      </c>
      <c r="C110" s="509" t="s">
        <v>667</v>
      </c>
      <c r="D110" s="490">
        <v>703.54</v>
      </c>
      <c r="E110" s="491">
        <v>740.93</v>
      </c>
      <c r="F110" s="486">
        <v>740.93</v>
      </c>
      <c r="G110" s="509" t="s">
        <v>809</v>
      </c>
      <c r="H110" s="488"/>
      <c r="I110" s="489">
        <f t="shared" si="4"/>
        <v>760.19417999999996</v>
      </c>
      <c r="J110" s="524"/>
    </row>
    <row r="111" spans="1:10" ht="23.65" customHeight="1" x14ac:dyDescent="0.25">
      <c r="A111" s="540" t="s">
        <v>907</v>
      </c>
      <c r="B111" s="483" t="s">
        <v>908</v>
      </c>
      <c r="C111" s="509" t="s">
        <v>667</v>
      </c>
      <c r="D111" s="490">
        <v>646.07000000000005</v>
      </c>
      <c r="E111" s="491">
        <v>627.15</v>
      </c>
      <c r="F111" s="486">
        <v>631.67999999999995</v>
      </c>
      <c r="G111" s="509" t="s">
        <v>809</v>
      </c>
      <c r="H111" s="488"/>
      <c r="I111" s="489">
        <f t="shared" si="4"/>
        <v>648.10367999999994</v>
      </c>
      <c r="J111" s="524"/>
    </row>
    <row r="112" spans="1:10" ht="24" customHeight="1" x14ac:dyDescent="0.25">
      <c r="A112" s="540" t="s">
        <v>909</v>
      </c>
      <c r="B112" s="483" t="s">
        <v>910</v>
      </c>
      <c r="C112" s="509" t="s">
        <v>667</v>
      </c>
      <c r="D112" s="490">
        <v>776.66</v>
      </c>
      <c r="E112" s="491">
        <v>745.7</v>
      </c>
      <c r="F112" s="486">
        <v>760.15</v>
      </c>
      <c r="G112" s="509" t="s">
        <v>809</v>
      </c>
      <c r="H112" s="488"/>
      <c r="I112" s="489">
        <f t="shared" si="4"/>
        <v>779.91390000000001</v>
      </c>
      <c r="J112" s="524"/>
    </row>
    <row r="113" spans="1:10" ht="20.65" customHeight="1" x14ac:dyDescent="0.25">
      <c r="A113" s="540" t="s">
        <v>911</v>
      </c>
      <c r="B113" s="483" t="s">
        <v>912</v>
      </c>
      <c r="C113" s="509" t="s">
        <v>656</v>
      </c>
      <c r="D113" s="490">
        <v>5.97</v>
      </c>
      <c r="E113" s="484" t="s">
        <v>735</v>
      </c>
      <c r="F113" s="496" t="s">
        <v>913</v>
      </c>
      <c r="G113" s="510" t="s">
        <v>737</v>
      </c>
      <c r="H113" s="488">
        <v>6.03</v>
      </c>
      <c r="I113" s="489">
        <f t="shared" ref="I113:I134" si="5">H113*1.026</f>
        <v>6.1867800000000006</v>
      </c>
      <c r="J113" s="524"/>
    </row>
    <row r="114" spans="1:10" x14ac:dyDescent="0.25">
      <c r="A114" s="540" t="s">
        <v>914</v>
      </c>
      <c r="B114" s="483" t="s">
        <v>915</v>
      </c>
      <c r="C114" s="509" t="s">
        <v>656</v>
      </c>
      <c r="D114" s="490">
        <v>6.75</v>
      </c>
      <c r="E114" s="484" t="s">
        <v>916</v>
      </c>
      <c r="F114" s="496" t="s">
        <v>917</v>
      </c>
      <c r="G114" s="498" t="s">
        <v>918</v>
      </c>
      <c r="H114" s="505">
        <v>6.83</v>
      </c>
      <c r="I114" s="489">
        <f t="shared" si="5"/>
        <v>7.0075799999999999</v>
      </c>
      <c r="J114" s="524"/>
    </row>
    <row r="115" spans="1:10" x14ac:dyDescent="0.25">
      <c r="A115" s="540" t="s">
        <v>919</v>
      </c>
      <c r="B115" s="483" t="s">
        <v>920</v>
      </c>
      <c r="C115" s="509" t="s">
        <v>667</v>
      </c>
      <c r="D115" s="490"/>
      <c r="E115" s="491">
        <v>503.53</v>
      </c>
      <c r="F115" s="496">
        <v>507.17</v>
      </c>
      <c r="G115" s="484" t="s">
        <v>809</v>
      </c>
      <c r="H115" s="488"/>
      <c r="I115" s="489">
        <f>507.17*1.026</f>
        <v>520.35642000000007</v>
      </c>
      <c r="J115" s="524"/>
    </row>
    <row r="116" spans="1:10" x14ac:dyDescent="0.25">
      <c r="A116" s="540" t="s">
        <v>921</v>
      </c>
      <c r="B116" s="483" t="s">
        <v>922</v>
      </c>
      <c r="C116" s="509" t="s">
        <v>667</v>
      </c>
      <c r="D116" s="490"/>
      <c r="E116" s="491">
        <v>559.1</v>
      </c>
      <c r="F116" s="496">
        <v>563.14</v>
      </c>
      <c r="G116" s="484" t="s">
        <v>809</v>
      </c>
      <c r="H116" s="488"/>
      <c r="I116" s="489">
        <f>H116*1.026</f>
        <v>0</v>
      </c>
      <c r="J116" s="524"/>
    </row>
    <row r="117" spans="1:10" x14ac:dyDescent="0.25">
      <c r="A117" s="538" t="s">
        <v>489</v>
      </c>
      <c r="B117" s="484"/>
      <c r="C117" s="509"/>
      <c r="D117" s="490"/>
      <c r="E117" s="484"/>
      <c r="F117" s="496"/>
      <c r="G117" s="484"/>
      <c r="H117" s="488"/>
      <c r="I117" s="489">
        <f>G117*1.026</f>
        <v>0</v>
      </c>
      <c r="J117" s="524"/>
    </row>
    <row r="118" spans="1:10" ht="25.5" x14ac:dyDescent="0.25">
      <c r="A118" s="539" t="s">
        <v>923</v>
      </c>
      <c r="B118" s="484" t="s">
        <v>924</v>
      </c>
      <c r="C118" s="509" t="s">
        <v>656</v>
      </c>
      <c r="D118" s="490">
        <v>16.25</v>
      </c>
      <c r="E118" s="484" t="s">
        <v>731</v>
      </c>
      <c r="F118" s="496" t="s">
        <v>925</v>
      </c>
      <c r="G118" s="484"/>
      <c r="H118" s="488">
        <v>16.420000000000002</v>
      </c>
      <c r="I118" s="489">
        <f t="shared" si="5"/>
        <v>16.846920000000001</v>
      </c>
      <c r="J118" s="524"/>
    </row>
    <row r="119" spans="1:10" x14ac:dyDescent="0.25">
      <c r="A119" s="539" t="s">
        <v>926</v>
      </c>
      <c r="B119" s="484" t="s">
        <v>927</v>
      </c>
      <c r="C119" s="509" t="s">
        <v>656</v>
      </c>
      <c r="D119" s="490"/>
      <c r="E119" s="484" t="s">
        <v>731</v>
      </c>
      <c r="F119" s="496" t="s">
        <v>925</v>
      </c>
      <c r="G119" s="484"/>
      <c r="H119" s="488"/>
      <c r="I119" s="489">
        <f t="shared" si="5"/>
        <v>0</v>
      </c>
      <c r="J119" s="524"/>
    </row>
    <row r="120" spans="1:10" ht="25.5" x14ac:dyDescent="0.25">
      <c r="A120" s="539" t="s">
        <v>928</v>
      </c>
      <c r="B120" s="484" t="s">
        <v>929</v>
      </c>
      <c r="C120" s="509" t="s">
        <v>656</v>
      </c>
      <c r="D120" s="490">
        <v>18.75</v>
      </c>
      <c r="E120" s="484" t="s">
        <v>930</v>
      </c>
      <c r="F120" s="496" t="s">
        <v>931</v>
      </c>
      <c r="G120" s="484"/>
      <c r="H120" s="488">
        <v>18.940000000000001</v>
      </c>
      <c r="I120" s="489">
        <f t="shared" si="5"/>
        <v>19.432440000000003</v>
      </c>
      <c r="J120" s="524"/>
    </row>
    <row r="121" spans="1:10" x14ac:dyDescent="0.25">
      <c r="A121" s="539" t="s">
        <v>932</v>
      </c>
      <c r="B121" s="484" t="s">
        <v>933</v>
      </c>
      <c r="C121" s="509" t="s">
        <v>656</v>
      </c>
      <c r="D121" s="490"/>
      <c r="E121" s="484" t="s">
        <v>930</v>
      </c>
      <c r="F121" s="496" t="s">
        <v>931</v>
      </c>
      <c r="G121" s="484"/>
      <c r="H121" s="488"/>
      <c r="I121" s="489">
        <f t="shared" si="5"/>
        <v>0</v>
      </c>
      <c r="J121" s="524"/>
    </row>
    <row r="122" spans="1:10" x14ac:dyDescent="0.25">
      <c r="A122" s="539" t="s">
        <v>934</v>
      </c>
      <c r="B122" s="484" t="s">
        <v>935</v>
      </c>
      <c r="C122" s="509" t="s">
        <v>656</v>
      </c>
      <c r="D122" s="490">
        <v>11.25</v>
      </c>
      <c r="E122" s="484" t="s">
        <v>936</v>
      </c>
      <c r="F122" s="496" t="s">
        <v>937</v>
      </c>
      <c r="G122" s="484"/>
      <c r="H122" s="488">
        <v>11.37</v>
      </c>
      <c r="I122" s="489">
        <f t="shared" si="5"/>
        <v>11.665619999999999</v>
      </c>
      <c r="J122" s="524"/>
    </row>
    <row r="123" spans="1:10" x14ac:dyDescent="0.25">
      <c r="A123" s="539" t="s">
        <v>938</v>
      </c>
      <c r="B123" s="484" t="s">
        <v>933</v>
      </c>
      <c r="C123" s="509" t="s">
        <v>656</v>
      </c>
      <c r="D123" s="490"/>
      <c r="E123" s="484" t="s">
        <v>930</v>
      </c>
      <c r="F123" s="496" t="s">
        <v>931</v>
      </c>
      <c r="G123" s="484"/>
      <c r="H123" s="488"/>
      <c r="I123" s="489">
        <f t="shared" si="5"/>
        <v>0</v>
      </c>
      <c r="J123" s="524"/>
    </row>
    <row r="124" spans="1:10" ht="25.5" x14ac:dyDescent="0.25">
      <c r="A124" s="539" t="s">
        <v>939</v>
      </c>
      <c r="B124" s="484" t="s">
        <v>940</v>
      </c>
      <c r="C124" s="509" t="s">
        <v>656</v>
      </c>
      <c r="D124" s="490">
        <v>16.25</v>
      </c>
      <c r="E124" s="484" t="s">
        <v>731</v>
      </c>
      <c r="F124" s="496" t="s">
        <v>925</v>
      </c>
      <c r="G124" s="484"/>
      <c r="H124" s="488">
        <v>16.420000000000002</v>
      </c>
      <c r="I124" s="489">
        <f t="shared" si="5"/>
        <v>16.846920000000001</v>
      </c>
      <c r="J124" s="524"/>
    </row>
    <row r="125" spans="1:10" x14ac:dyDescent="0.25">
      <c r="A125" s="539" t="s">
        <v>941</v>
      </c>
      <c r="B125" s="484" t="s">
        <v>942</v>
      </c>
      <c r="C125" s="509" t="s">
        <v>656</v>
      </c>
      <c r="D125" s="490"/>
      <c r="E125" s="484" t="s">
        <v>731</v>
      </c>
      <c r="F125" s="496" t="s">
        <v>925</v>
      </c>
      <c r="G125" s="484"/>
      <c r="H125" s="488"/>
      <c r="I125" s="489">
        <f t="shared" si="5"/>
        <v>0</v>
      </c>
      <c r="J125" s="524"/>
    </row>
    <row r="126" spans="1:10" ht="25.5" x14ac:dyDescent="0.25">
      <c r="A126" s="539" t="s">
        <v>943</v>
      </c>
      <c r="B126" s="484" t="s">
        <v>944</v>
      </c>
      <c r="C126" s="509" t="s">
        <v>656</v>
      </c>
      <c r="D126" s="490">
        <v>15.2</v>
      </c>
      <c r="E126" s="484" t="s">
        <v>770</v>
      </c>
      <c r="F126" s="496" t="s">
        <v>945</v>
      </c>
      <c r="G126" s="484"/>
      <c r="H126" s="488">
        <v>15.36</v>
      </c>
      <c r="I126" s="489">
        <f t="shared" si="5"/>
        <v>15.759359999999999</v>
      </c>
      <c r="J126" s="524"/>
    </row>
    <row r="127" spans="1:10" x14ac:dyDescent="0.25">
      <c r="A127" s="540" t="s">
        <v>946</v>
      </c>
      <c r="B127" s="484" t="s">
        <v>947</v>
      </c>
      <c r="C127" s="509" t="s">
        <v>656</v>
      </c>
      <c r="D127" s="490"/>
      <c r="E127" s="484" t="s">
        <v>770</v>
      </c>
      <c r="F127" s="496" t="s">
        <v>945</v>
      </c>
      <c r="G127" s="484"/>
      <c r="H127" s="488"/>
      <c r="I127" s="489">
        <f t="shared" si="5"/>
        <v>0</v>
      </c>
      <c r="J127" s="524"/>
    </row>
    <row r="128" spans="1:10" ht="25.5" x14ac:dyDescent="0.25">
      <c r="A128" s="540" t="s">
        <v>948</v>
      </c>
      <c r="B128" s="484" t="s">
        <v>949</v>
      </c>
      <c r="C128" s="509" t="s">
        <v>656</v>
      </c>
      <c r="D128" s="490">
        <v>18.989999999999998</v>
      </c>
      <c r="E128" s="484" t="s">
        <v>950</v>
      </c>
      <c r="F128" s="496" t="s">
        <v>951</v>
      </c>
      <c r="G128" s="484"/>
      <c r="H128" s="488">
        <v>19.18</v>
      </c>
      <c r="I128" s="489">
        <f t="shared" si="5"/>
        <v>19.67868</v>
      </c>
      <c r="J128" s="524"/>
    </row>
    <row r="129" spans="1:11" x14ac:dyDescent="0.25">
      <c r="A129" s="540" t="s">
        <v>952</v>
      </c>
      <c r="B129" s="484" t="s">
        <v>953</v>
      </c>
      <c r="C129" s="509" t="s">
        <v>656</v>
      </c>
      <c r="D129" s="490"/>
      <c r="E129" s="484" t="s">
        <v>950</v>
      </c>
      <c r="F129" s="496" t="s">
        <v>951</v>
      </c>
      <c r="G129" s="484"/>
      <c r="H129" s="488"/>
      <c r="I129" s="489">
        <f t="shared" si="5"/>
        <v>0</v>
      </c>
      <c r="J129" s="524"/>
    </row>
    <row r="130" spans="1:11" x14ac:dyDescent="0.25">
      <c r="A130" s="539" t="s">
        <v>954</v>
      </c>
      <c r="B130" s="484" t="s">
        <v>387</v>
      </c>
      <c r="C130" s="509" t="s">
        <v>656</v>
      </c>
      <c r="D130" s="490"/>
      <c r="E130" s="484" t="s">
        <v>955</v>
      </c>
      <c r="F130" s="496" t="s">
        <v>956</v>
      </c>
      <c r="G130" s="511" t="s">
        <v>957</v>
      </c>
      <c r="H130" s="488">
        <v>5.05</v>
      </c>
      <c r="I130" s="489">
        <f t="shared" si="5"/>
        <v>5.1813000000000002</v>
      </c>
      <c r="J130" s="524"/>
    </row>
    <row r="131" spans="1:11" x14ac:dyDescent="0.25">
      <c r="A131" s="509" t="s">
        <v>958</v>
      </c>
      <c r="B131" s="484" t="s">
        <v>388</v>
      </c>
      <c r="C131" s="509" t="s">
        <v>656</v>
      </c>
      <c r="D131" s="490"/>
      <c r="E131" s="484" t="s">
        <v>959</v>
      </c>
      <c r="F131" s="496" t="s">
        <v>960</v>
      </c>
      <c r="G131" s="507" t="s">
        <v>961</v>
      </c>
      <c r="H131" s="488">
        <v>2.44</v>
      </c>
      <c r="I131" s="489">
        <f t="shared" si="5"/>
        <v>2.5034399999999999</v>
      </c>
      <c r="J131" s="524"/>
      <c r="K131" s="482">
        <f>20.2*((1+(0.15*3)))/3</f>
        <v>9.7633333333333336</v>
      </c>
    </row>
    <row r="132" spans="1:11" x14ac:dyDescent="0.25">
      <c r="A132" s="542" t="s">
        <v>445</v>
      </c>
      <c r="B132" s="484"/>
      <c r="C132" s="509"/>
      <c r="D132" s="490"/>
      <c r="E132" s="484"/>
      <c r="F132" s="496"/>
      <c r="G132" s="512"/>
      <c r="H132" s="488"/>
      <c r="I132" s="489">
        <f t="shared" si="5"/>
        <v>0</v>
      </c>
      <c r="J132" s="524"/>
    </row>
    <row r="133" spans="1:11" x14ac:dyDescent="0.25">
      <c r="A133" s="509" t="s">
        <v>446</v>
      </c>
      <c r="B133" s="484" t="s">
        <v>962</v>
      </c>
      <c r="C133" s="509" t="s">
        <v>656</v>
      </c>
      <c r="D133" s="490">
        <v>9.5</v>
      </c>
      <c r="E133" s="484" t="s">
        <v>963</v>
      </c>
      <c r="F133" s="496" t="s">
        <v>964</v>
      </c>
      <c r="G133" s="513" t="s">
        <v>965</v>
      </c>
      <c r="H133" s="488">
        <v>12.29</v>
      </c>
      <c r="I133" s="489">
        <f t="shared" si="5"/>
        <v>12.609539999999999</v>
      </c>
      <c r="J133" s="524"/>
    </row>
    <row r="134" spans="1:11" x14ac:dyDescent="0.25">
      <c r="A134" s="509" t="s">
        <v>966</v>
      </c>
      <c r="B134" s="484" t="s">
        <v>967</v>
      </c>
      <c r="C134" s="509" t="s">
        <v>656</v>
      </c>
      <c r="D134" s="490"/>
      <c r="E134" s="484" t="s">
        <v>968</v>
      </c>
      <c r="F134" s="496" t="s">
        <v>969</v>
      </c>
      <c r="G134" s="507" t="s">
        <v>970</v>
      </c>
      <c r="H134" s="488">
        <v>6.74</v>
      </c>
      <c r="I134" s="489">
        <f t="shared" si="5"/>
        <v>6.9152400000000007</v>
      </c>
      <c r="J134" s="524"/>
    </row>
    <row r="135" spans="1:11" x14ac:dyDescent="0.25">
      <c r="A135" s="509" t="s">
        <v>452</v>
      </c>
      <c r="B135" s="484" t="s">
        <v>971</v>
      </c>
      <c r="C135" s="509" t="s">
        <v>656</v>
      </c>
      <c r="D135" s="490"/>
      <c r="E135" s="484" t="s">
        <v>963</v>
      </c>
      <c r="F135" s="496" t="s">
        <v>964</v>
      </c>
      <c r="G135" s="484"/>
      <c r="H135" s="488"/>
      <c r="I135" s="489"/>
      <c r="J135" s="524"/>
    </row>
    <row r="136" spans="1:11" x14ac:dyDescent="0.25">
      <c r="A136" s="509" t="s">
        <v>972</v>
      </c>
      <c r="B136" s="484" t="s">
        <v>973</v>
      </c>
      <c r="C136" s="509" t="s">
        <v>656</v>
      </c>
      <c r="D136" s="490"/>
      <c r="E136" s="484" t="s">
        <v>963</v>
      </c>
      <c r="F136" s="496" t="s">
        <v>964</v>
      </c>
      <c r="G136" s="484"/>
      <c r="H136" s="488"/>
      <c r="I136" s="489"/>
      <c r="J136" s="524"/>
    </row>
    <row r="137" spans="1:11" x14ac:dyDescent="0.25">
      <c r="A137" s="509" t="s">
        <v>455</v>
      </c>
      <c r="B137" s="484" t="s">
        <v>974</v>
      </c>
      <c r="C137" s="509" t="s">
        <v>656</v>
      </c>
      <c r="D137" s="490"/>
      <c r="E137" s="484" t="s">
        <v>968</v>
      </c>
      <c r="F137" s="496" t="s">
        <v>969</v>
      </c>
      <c r="G137" s="484"/>
      <c r="H137" s="488"/>
      <c r="I137" s="489"/>
      <c r="J137" s="524"/>
    </row>
    <row r="138" spans="1:11" x14ac:dyDescent="0.25">
      <c r="A138" s="509" t="s">
        <v>975</v>
      </c>
      <c r="B138" s="484" t="s">
        <v>976</v>
      </c>
      <c r="C138" s="509" t="s">
        <v>656</v>
      </c>
      <c r="D138" s="490"/>
      <c r="E138" s="484" t="s">
        <v>968</v>
      </c>
      <c r="F138" s="496" t="s">
        <v>969</v>
      </c>
      <c r="G138" s="484"/>
      <c r="H138" s="488"/>
      <c r="I138" s="489"/>
      <c r="J138" s="524"/>
    </row>
    <row r="139" spans="1:11" x14ac:dyDescent="0.25">
      <c r="A139" s="509" t="s">
        <v>457</v>
      </c>
      <c r="B139" s="484" t="s">
        <v>977</v>
      </c>
      <c r="C139" s="509" t="s">
        <v>656</v>
      </c>
      <c r="D139" s="490"/>
      <c r="E139" s="484" t="s">
        <v>963</v>
      </c>
      <c r="F139" s="496" t="s">
        <v>964</v>
      </c>
      <c r="G139" s="484"/>
      <c r="H139" s="488"/>
      <c r="I139" s="489"/>
      <c r="J139" s="524"/>
    </row>
    <row r="140" spans="1:11" x14ac:dyDescent="0.25">
      <c r="A140" s="509" t="s">
        <v>978</v>
      </c>
      <c r="B140" s="484" t="s">
        <v>979</v>
      </c>
      <c r="C140" s="509" t="s">
        <v>656</v>
      </c>
      <c r="D140" s="490"/>
      <c r="E140" s="484" t="s">
        <v>963</v>
      </c>
      <c r="F140" s="496" t="s">
        <v>964</v>
      </c>
      <c r="G140" s="484"/>
      <c r="H140" s="488"/>
      <c r="I140" s="489"/>
      <c r="J140" s="524"/>
    </row>
    <row r="141" spans="1:11" x14ac:dyDescent="0.25">
      <c r="A141" s="509" t="s">
        <v>460</v>
      </c>
      <c r="B141" s="484" t="s">
        <v>980</v>
      </c>
      <c r="C141" s="509" t="s">
        <v>656</v>
      </c>
      <c r="D141" s="490"/>
      <c r="E141" s="484" t="s">
        <v>968</v>
      </c>
      <c r="F141" s="496" t="s">
        <v>969</v>
      </c>
      <c r="G141" s="484"/>
      <c r="H141" s="488"/>
      <c r="I141" s="489"/>
      <c r="J141" s="524"/>
    </row>
    <row r="142" spans="1:11" ht="25.5" x14ac:dyDescent="0.25">
      <c r="A142" s="509" t="s">
        <v>981</v>
      </c>
      <c r="B142" s="484" t="s">
        <v>982</v>
      </c>
      <c r="C142" s="509" t="s">
        <v>656</v>
      </c>
      <c r="D142" s="490"/>
      <c r="E142" s="484" t="s">
        <v>968</v>
      </c>
      <c r="F142" s="496" t="s">
        <v>969</v>
      </c>
      <c r="G142" s="484"/>
      <c r="H142" s="488"/>
      <c r="I142" s="489"/>
      <c r="J142" s="524"/>
    </row>
    <row r="143" spans="1:11" x14ac:dyDescent="0.25">
      <c r="A143" s="509" t="s">
        <v>462</v>
      </c>
      <c r="B143" s="484" t="s">
        <v>983</v>
      </c>
      <c r="C143" s="509" t="s">
        <v>656</v>
      </c>
      <c r="D143" s="490"/>
      <c r="E143" s="484" t="s">
        <v>984</v>
      </c>
      <c r="F143" s="496" t="s">
        <v>985</v>
      </c>
      <c r="G143" s="484"/>
      <c r="H143" s="488"/>
      <c r="I143" s="489"/>
      <c r="J143" s="524"/>
    </row>
    <row r="144" spans="1:11" x14ac:dyDescent="0.25">
      <c r="A144" s="509" t="s">
        <v>986</v>
      </c>
      <c r="B144" s="484" t="s">
        <v>987</v>
      </c>
      <c r="C144" s="509" t="s">
        <v>656</v>
      </c>
      <c r="D144" s="490"/>
      <c r="E144" s="484" t="s">
        <v>984</v>
      </c>
      <c r="F144" s="496" t="s">
        <v>985</v>
      </c>
      <c r="G144" s="484"/>
      <c r="H144" s="488"/>
      <c r="I144" s="489"/>
      <c r="J144" s="524"/>
    </row>
    <row r="145" spans="1:11" x14ac:dyDescent="0.25">
      <c r="A145" s="509" t="s">
        <v>465</v>
      </c>
      <c r="B145" s="484" t="s">
        <v>988</v>
      </c>
      <c r="C145" s="509" t="s">
        <v>656</v>
      </c>
      <c r="D145" s="490">
        <v>5.76</v>
      </c>
      <c r="E145" s="484" t="s">
        <v>984</v>
      </c>
      <c r="F145" s="496" t="s">
        <v>985</v>
      </c>
      <c r="G145" s="484"/>
      <c r="H145" s="488"/>
      <c r="I145" s="489"/>
      <c r="J145" s="524"/>
    </row>
    <row r="146" spans="1:11" ht="25.5" x14ac:dyDescent="0.25">
      <c r="A146" s="509" t="s">
        <v>989</v>
      </c>
      <c r="B146" s="484" t="s">
        <v>990</v>
      </c>
      <c r="C146" s="509" t="s">
        <v>656</v>
      </c>
      <c r="D146" s="490"/>
      <c r="E146" s="484" t="s">
        <v>984</v>
      </c>
      <c r="F146" s="496" t="s">
        <v>985</v>
      </c>
      <c r="G146" s="484"/>
      <c r="H146" s="488"/>
      <c r="I146" s="489"/>
      <c r="J146" s="524"/>
    </row>
    <row r="147" spans="1:11" x14ac:dyDescent="0.25">
      <c r="A147" s="542" t="s">
        <v>991</v>
      </c>
      <c r="B147" s="484"/>
      <c r="C147" s="509"/>
      <c r="D147" s="490">
        <v>2.85</v>
      </c>
      <c r="E147" s="484"/>
      <c r="F147" s="496"/>
      <c r="G147" s="514">
        <v>0.13189999999999999</v>
      </c>
      <c r="H147" s="505">
        <v>3.26</v>
      </c>
      <c r="I147" s="489">
        <f t="shared" ref="I147:I148" si="6">H147*1.026</f>
        <v>3.34476</v>
      </c>
      <c r="J147" s="524"/>
    </row>
    <row r="148" spans="1:11" x14ac:dyDescent="0.25">
      <c r="A148" s="509" t="s">
        <v>992</v>
      </c>
      <c r="B148" s="484" t="s">
        <v>993</v>
      </c>
      <c r="C148" s="509" t="s">
        <v>656</v>
      </c>
      <c r="D148" s="490"/>
      <c r="E148" s="484" t="s">
        <v>994</v>
      </c>
      <c r="F148" s="496" t="s">
        <v>995</v>
      </c>
      <c r="G148" s="498" t="s">
        <v>996</v>
      </c>
      <c r="H148" s="505">
        <v>3.26</v>
      </c>
      <c r="I148" s="489">
        <f t="shared" si="6"/>
        <v>3.34476</v>
      </c>
      <c r="J148" s="524"/>
    </row>
    <row r="149" spans="1:11" x14ac:dyDescent="0.25">
      <c r="A149" s="509" t="s">
        <v>997</v>
      </c>
      <c r="B149" s="484" t="s">
        <v>998</v>
      </c>
      <c r="C149" s="509" t="s">
        <v>656</v>
      </c>
      <c r="D149" s="490"/>
      <c r="E149" s="484" t="s">
        <v>994</v>
      </c>
      <c r="F149" s="496" t="s">
        <v>995</v>
      </c>
      <c r="G149" s="498" t="s">
        <v>996</v>
      </c>
      <c r="H149" s="488"/>
      <c r="I149" s="489"/>
      <c r="J149" s="524"/>
    </row>
    <row r="150" spans="1:11" x14ac:dyDescent="0.25">
      <c r="A150" s="509" t="s">
        <v>999</v>
      </c>
      <c r="B150" s="484" t="s">
        <v>1000</v>
      </c>
      <c r="C150" s="509" t="s">
        <v>656</v>
      </c>
      <c r="D150" s="490"/>
      <c r="E150" s="484" t="s">
        <v>994</v>
      </c>
      <c r="F150" s="496" t="s">
        <v>995</v>
      </c>
      <c r="G150" s="498" t="s">
        <v>996</v>
      </c>
      <c r="H150" s="488"/>
      <c r="I150" s="489"/>
      <c r="J150" s="524"/>
    </row>
    <row r="151" spans="1:11" x14ac:dyDescent="0.25">
      <c r="A151" s="509" t="s">
        <v>1001</v>
      </c>
      <c r="B151" s="484" t="s">
        <v>1002</v>
      </c>
      <c r="C151" s="509" t="s">
        <v>656</v>
      </c>
      <c r="D151" s="490"/>
      <c r="E151" s="484" t="s">
        <v>994</v>
      </c>
      <c r="F151" s="496" t="s">
        <v>995</v>
      </c>
      <c r="G151" s="498" t="s">
        <v>996</v>
      </c>
      <c r="H151" s="488"/>
      <c r="I151" s="489"/>
      <c r="J151" s="524"/>
    </row>
    <row r="152" spans="1:11" x14ac:dyDescent="0.25">
      <c r="A152" s="509" t="s">
        <v>1003</v>
      </c>
      <c r="B152" s="484" t="s">
        <v>1004</v>
      </c>
      <c r="C152" s="509" t="s">
        <v>656</v>
      </c>
      <c r="D152" s="490"/>
      <c r="E152" s="484" t="s">
        <v>994</v>
      </c>
      <c r="F152" s="496" t="s">
        <v>995</v>
      </c>
      <c r="G152" s="498" t="s">
        <v>996</v>
      </c>
      <c r="H152" s="488"/>
      <c r="I152" s="489"/>
      <c r="J152" s="524"/>
    </row>
    <row r="153" spans="1:11" x14ac:dyDescent="0.25">
      <c r="A153" s="509" t="s">
        <v>1005</v>
      </c>
      <c r="B153" s="484" t="s">
        <v>1006</v>
      </c>
      <c r="C153" s="509" t="s">
        <v>656</v>
      </c>
      <c r="D153" s="490"/>
      <c r="E153" s="484" t="s">
        <v>994</v>
      </c>
      <c r="F153" s="496" t="s">
        <v>995</v>
      </c>
      <c r="G153" s="498" t="s">
        <v>996</v>
      </c>
      <c r="H153" s="488"/>
      <c r="I153" s="489"/>
      <c r="J153" s="524"/>
    </row>
    <row r="154" spans="1:11" x14ac:dyDescent="0.25">
      <c r="A154" s="509" t="s">
        <v>1007</v>
      </c>
      <c r="B154" s="484" t="s">
        <v>1008</v>
      </c>
      <c r="C154" s="509" t="s">
        <v>656</v>
      </c>
      <c r="D154" s="490"/>
      <c r="E154" s="484" t="s">
        <v>994</v>
      </c>
      <c r="F154" s="496" t="s">
        <v>995</v>
      </c>
      <c r="G154" s="498" t="s">
        <v>996</v>
      </c>
      <c r="H154" s="488"/>
      <c r="I154" s="489"/>
      <c r="J154" s="524"/>
    </row>
    <row r="155" spans="1:11" x14ac:dyDescent="0.25">
      <c r="A155" s="509" t="s">
        <v>1009</v>
      </c>
      <c r="B155" s="484" t="s">
        <v>1010</v>
      </c>
      <c r="C155" s="509" t="s">
        <v>656</v>
      </c>
      <c r="D155" s="490"/>
      <c r="E155" s="484" t="s">
        <v>994</v>
      </c>
      <c r="F155" s="496" t="s">
        <v>995</v>
      </c>
      <c r="G155" s="515" t="s">
        <v>996</v>
      </c>
      <c r="H155" s="488"/>
      <c r="I155" s="489"/>
      <c r="J155" s="524"/>
    </row>
    <row r="156" spans="1:11" x14ac:dyDescent="0.25">
      <c r="I156" s="517"/>
    </row>
    <row r="157" spans="1:11" x14ac:dyDescent="0.25">
      <c r="A157" s="518" t="s">
        <v>1011</v>
      </c>
      <c r="I157" s="517"/>
    </row>
    <row r="158" spans="1:11" x14ac:dyDescent="0.25">
      <c r="A158" s="482" t="s">
        <v>1012</v>
      </c>
      <c r="G158" s="519" t="s">
        <v>1013</v>
      </c>
      <c r="H158" s="482" t="s">
        <v>1014</v>
      </c>
      <c r="I158" s="517">
        <f>12.21*1.026</f>
        <v>12.527460000000001</v>
      </c>
      <c r="K158" s="482" t="s">
        <v>1015</v>
      </c>
    </row>
    <row r="159" spans="1:11" x14ac:dyDescent="0.25">
      <c r="A159" s="482" t="s">
        <v>1016</v>
      </c>
      <c r="G159" s="482" t="s">
        <v>1017</v>
      </c>
      <c r="H159" s="482" t="s">
        <v>1018</v>
      </c>
      <c r="I159" s="517">
        <f>8.6*1.026</f>
        <v>8.823599999999999</v>
      </c>
    </row>
    <row r="160" spans="1:11" x14ac:dyDescent="0.25">
      <c r="A160" s="482" t="s">
        <v>1019</v>
      </c>
      <c r="G160" s="482" t="s">
        <v>1020</v>
      </c>
      <c r="H160" s="482" t="s">
        <v>1018</v>
      </c>
      <c r="I160" s="517">
        <f>2.53*1.026</f>
        <v>2.59578</v>
      </c>
    </row>
    <row r="161" spans="1:11" x14ac:dyDescent="0.25">
      <c r="A161" s="482" t="s">
        <v>1021</v>
      </c>
      <c r="G161" s="482" t="s">
        <v>1022</v>
      </c>
      <c r="I161" s="517">
        <f>6.15*1.026</f>
        <v>6.3099000000000007</v>
      </c>
      <c r="K161" s="482">
        <f>61.44*((1+(0.15*4)))/4</f>
        <v>24.576000000000001</v>
      </c>
    </row>
    <row r="162" spans="1:11" x14ac:dyDescent="0.25">
      <c r="A162" s="482" t="s">
        <v>1023</v>
      </c>
      <c r="G162" s="482" t="s">
        <v>1024</v>
      </c>
      <c r="H162" s="482" t="s">
        <v>1018</v>
      </c>
      <c r="I162" s="517">
        <f>11.25*1.026</f>
        <v>11.5425</v>
      </c>
    </row>
    <row r="163" spans="1:11" x14ac:dyDescent="0.25">
      <c r="A163" s="482" t="s">
        <v>1025</v>
      </c>
      <c r="G163" s="482" t="s">
        <v>1026</v>
      </c>
      <c r="H163" s="482" t="s">
        <v>1018</v>
      </c>
      <c r="I163" s="517">
        <f>3.31*1.026</f>
        <v>3.3960600000000003</v>
      </c>
    </row>
    <row r="164" spans="1:11" x14ac:dyDescent="0.25">
      <c r="A164" s="482" t="s">
        <v>1027</v>
      </c>
      <c r="G164" s="482" t="s">
        <v>1017</v>
      </c>
      <c r="H164" s="482" t="s">
        <v>1018</v>
      </c>
      <c r="I164" s="517">
        <f>8.6*1.026</f>
        <v>8.823599999999999</v>
      </c>
    </row>
    <row r="165" spans="1:11" x14ac:dyDescent="0.25">
      <c r="A165" s="482" t="s">
        <v>1028</v>
      </c>
      <c r="G165" s="482" t="s">
        <v>1029</v>
      </c>
      <c r="H165" s="482" t="s">
        <v>1018</v>
      </c>
      <c r="I165" s="517">
        <f>2.53*1.026</f>
        <v>2.59578</v>
      </c>
    </row>
    <row r="166" spans="1:11" x14ac:dyDescent="0.25">
      <c r="A166" s="482" t="s">
        <v>1030</v>
      </c>
      <c r="G166" s="482" t="s">
        <v>1031</v>
      </c>
      <c r="I166" s="517">
        <v>10000</v>
      </c>
      <c r="J166" s="502" t="s">
        <v>1059</v>
      </c>
    </row>
    <row r="167" spans="1:11" x14ac:dyDescent="0.25">
      <c r="I167" s="517"/>
    </row>
    <row r="183" spans="1:6" x14ac:dyDescent="0.25">
      <c r="A183" s="503"/>
      <c r="B183" s="503"/>
      <c r="C183" s="503"/>
      <c r="D183" s="503"/>
      <c r="E183" s="503"/>
      <c r="F183" s="504"/>
    </row>
    <row r="184" spans="1:6" x14ac:dyDescent="0.25">
      <c r="A184" s="503"/>
      <c r="B184" s="503"/>
      <c r="C184" s="503"/>
      <c r="D184" s="503"/>
      <c r="E184" s="503"/>
      <c r="F184" s="504"/>
    </row>
    <row r="185" spans="1:6" x14ac:dyDescent="0.25">
      <c r="A185" s="503"/>
      <c r="B185" s="503"/>
      <c r="C185" s="503"/>
      <c r="D185" s="503"/>
      <c r="E185" s="503"/>
      <c r="F185" s="504"/>
    </row>
    <row r="186" spans="1:6" x14ac:dyDescent="0.25">
      <c r="A186" s="503"/>
      <c r="B186" s="503"/>
      <c r="C186" s="503"/>
      <c r="D186" s="503"/>
      <c r="E186" s="503"/>
      <c r="F186" s="504"/>
    </row>
  </sheetData>
  <pageMargins left="0.7" right="0.7" top="0.75" bottom="0.75" header="0.3" footer="0.3"/>
  <pageSetup paperSize="5" scale="44"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D31" sqref="D31"/>
    </sheetView>
  </sheetViews>
  <sheetFormatPr defaultRowHeight="15" x14ac:dyDescent="0.25"/>
  <cols>
    <col min="1" max="1" width="42.5703125" customWidth="1"/>
    <col min="2" max="2" width="11.28515625" bestFit="1" customWidth="1"/>
    <col min="4" max="4" width="10.42578125" bestFit="1" customWidth="1"/>
    <col min="5" max="5" width="13.42578125" customWidth="1"/>
    <col min="6" max="6" width="12.140625" bestFit="1" customWidth="1"/>
    <col min="7" max="7" width="17.28515625" bestFit="1" customWidth="1"/>
  </cols>
  <sheetData>
    <row r="1" spans="1:7" x14ac:dyDescent="0.25">
      <c r="B1" s="739" t="s">
        <v>1151</v>
      </c>
      <c r="C1" s="739"/>
      <c r="D1" s="603"/>
      <c r="E1" s="740" t="s">
        <v>1157</v>
      </c>
      <c r="F1" s="604" t="s">
        <v>158</v>
      </c>
      <c r="G1" s="603"/>
    </row>
    <row r="2" spans="1:7" x14ac:dyDescent="0.25">
      <c r="B2" s="317" t="s">
        <v>510</v>
      </c>
      <c r="C2" s="317" t="s">
        <v>511</v>
      </c>
      <c r="D2" s="317" t="s">
        <v>82</v>
      </c>
      <c r="E2" s="741"/>
      <c r="F2" s="605" t="s">
        <v>511</v>
      </c>
      <c r="G2" s="605" t="s">
        <v>1152</v>
      </c>
    </row>
    <row r="3" spans="1:7" x14ac:dyDescent="0.25">
      <c r="A3" t="s">
        <v>1149</v>
      </c>
      <c r="B3" s="598">
        <f>'Appendix J-2'!AZ96*4</f>
        <v>21.44</v>
      </c>
      <c r="C3" s="598">
        <f>'Appendix J-2'!BE96*4</f>
        <v>24.32</v>
      </c>
      <c r="D3" s="598">
        <f>B3-C3</f>
        <v>-2.879999999999999</v>
      </c>
      <c r="E3" s="598">
        <f>D3/4</f>
        <v>-0.71999999999999975</v>
      </c>
      <c r="F3" s="599">
        <f>'Appendix J-2'!BD96</f>
        <v>367492.44700460834</v>
      </c>
      <c r="G3" s="600">
        <f>E3*F3</f>
        <v>-264594.56184331793</v>
      </c>
    </row>
    <row r="4" spans="1:7" x14ac:dyDescent="0.25">
      <c r="A4" t="s">
        <v>1150</v>
      </c>
      <c r="B4" s="598">
        <f>'Appendix J-2'!AZ97*4</f>
        <v>38</v>
      </c>
      <c r="C4" s="598">
        <f>'Appendix J-2'!BE97*4</f>
        <v>35.04</v>
      </c>
      <c r="D4" s="598">
        <f>B4-C4</f>
        <v>2.9600000000000009</v>
      </c>
      <c r="E4" s="598">
        <f>D4/4</f>
        <v>0.74000000000000021</v>
      </c>
      <c r="F4" s="599">
        <f>'Appendix J-2'!BD97</f>
        <v>26250</v>
      </c>
      <c r="G4" s="600">
        <f>E4*F4</f>
        <v>19425.000000000007</v>
      </c>
    </row>
    <row r="5" spans="1:7" x14ac:dyDescent="0.25">
      <c r="A5" s="601" t="s">
        <v>1153</v>
      </c>
      <c r="B5" s="601"/>
      <c r="C5" s="601"/>
      <c r="D5" s="601"/>
      <c r="E5" s="601"/>
      <c r="F5" s="606">
        <f>SUM(F3:F4)</f>
        <v>393742.44700460834</v>
      </c>
      <c r="G5" s="602">
        <f>SUM(G3:G4)</f>
        <v>-245169.56184331793</v>
      </c>
    </row>
    <row r="7" spans="1:7" x14ac:dyDescent="0.25">
      <c r="B7" s="739" t="s">
        <v>1151</v>
      </c>
      <c r="C7" s="739"/>
      <c r="D7" s="603"/>
      <c r="E7" s="740" t="s">
        <v>1157</v>
      </c>
      <c r="F7" s="604" t="s">
        <v>158</v>
      </c>
      <c r="G7" s="603"/>
    </row>
    <row r="8" spans="1:7" x14ac:dyDescent="0.25">
      <c r="B8" s="317" t="s">
        <v>510</v>
      </c>
      <c r="C8" s="317" t="s">
        <v>511</v>
      </c>
      <c r="D8" s="317" t="s">
        <v>82</v>
      </c>
      <c r="E8" s="741"/>
      <c r="F8" s="605" t="s">
        <v>511</v>
      </c>
      <c r="G8" s="605" t="s">
        <v>1152</v>
      </c>
    </row>
    <row r="9" spans="1:7" x14ac:dyDescent="0.25">
      <c r="A9" t="s">
        <v>1154</v>
      </c>
      <c r="B9" s="598">
        <f>'Appendix J-2'!AZ102*4</f>
        <v>19.079999999999998</v>
      </c>
      <c r="C9" s="598">
        <f>'Appendix J-2'!BE102*4</f>
        <v>20.72</v>
      </c>
      <c r="D9" s="598">
        <f>B9-C9</f>
        <v>-1.6400000000000006</v>
      </c>
      <c r="E9" s="598">
        <f>D9/4</f>
        <v>-0.41000000000000014</v>
      </c>
      <c r="F9" s="599">
        <f>'Appendix J-2'!BD102</f>
        <v>4300</v>
      </c>
      <c r="G9" s="600">
        <f>E9*F9</f>
        <v>-1763.0000000000007</v>
      </c>
    </row>
    <row r="10" spans="1:7" x14ac:dyDescent="0.25">
      <c r="A10" t="s">
        <v>1155</v>
      </c>
      <c r="B10" s="598">
        <f>'Appendix J-2'!AZ103*4</f>
        <v>11.76</v>
      </c>
      <c r="C10" s="598">
        <f>'Appendix J-2'!BE103*4</f>
        <v>10</v>
      </c>
      <c r="D10" s="598">
        <f>B10-C10</f>
        <v>1.7599999999999998</v>
      </c>
      <c r="E10" s="598">
        <f>D10/4</f>
        <v>0.43999999999999995</v>
      </c>
      <c r="F10" s="599">
        <f>'Appendix J-2'!BD103</f>
        <v>2750</v>
      </c>
      <c r="G10" s="600">
        <f>E10*F10</f>
        <v>1209.9999999999998</v>
      </c>
    </row>
    <row r="11" spans="1:7" x14ac:dyDescent="0.25">
      <c r="A11" s="601" t="s">
        <v>1156</v>
      </c>
      <c r="B11" s="601"/>
      <c r="C11" s="601"/>
      <c r="D11" s="601"/>
      <c r="E11" s="601"/>
      <c r="F11" s="606">
        <f>SUM(F9:F10)</f>
        <v>7050</v>
      </c>
      <c r="G11" s="602">
        <f>SUM(G9:G10)</f>
        <v>-553.00000000000091</v>
      </c>
    </row>
    <row r="13" spans="1:7" x14ac:dyDescent="0.25">
      <c r="B13" s="739" t="s">
        <v>1151</v>
      </c>
      <c r="C13" s="739"/>
      <c r="D13" s="603"/>
      <c r="E13" s="740" t="s">
        <v>1157</v>
      </c>
      <c r="F13" s="604" t="s">
        <v>158</v>
      </c>
      <c r="G13" s="603"/>
    </row>
    <row r="14" spans="1:7" x14ac:dyDescent="0.25">
      <c r="B14" s="317" t="s">
        <v>510</v>
      </c>
      <c r="C14" s="317" t="s">
        <v>511</v>
      </c>
      <c r="D14" s="317" t="s">
        <v>82</v>
      </c>
      <c r="E14" s="741"/>
      <c r="F14" s="605" t="s">
        <v>511</v>
      </c>
      <c r="G14" s="605" t="s">
        <v>1152</v>
      </c>
    </row>
    <row r="15" spans="1:7" x14ac:dyDescent="0.25">
      <c r="A15" t="s">
        <v>1158</v>
      </c>
      <c r="B15" s="598">
        <f>'Appendix J-2'!AZ47*4</f>
        <v>47.92</v>
      </c>
      <c r="C15" s="598">
        <f>'Appendix J-2'!BE47*4</f>
        <v>50.44</v>
      </c>
      <c r="D15" s="598">
        <f>B15-C15</f>
        <v>-2.519999999999996</v>
      </c>
      <c r="E15" s="598">
        <f>D15/4</f>
        <v>-0.62999999999999901</v>
      </c>
      <c r="F15" s="599">
        <f>'Appendix J-2'!BD47</f>
        <v>1066.4259259259261</v>
      </c>
      <c r="G15" s="600">
        <f>E15*F15</f>
        <v>-671.84833333333233</v>
      </c>
    </row>
    <row r="16" spans="1:7" x14ac:dyDescent="0.25">
      <c r="A16" t="s">
        <v>1159</v>
      </c>
      <c r="B16" s="598">
        <f>'Appendix J-2'!AZ48*4</f>
        <v>28.84</v>
      </c>
      <c r="C16" s="598">
        <f>'Appendix J-2'!BE48*4</f>
        <v>27.68</v>
      </c>
      <c r="D16" s="598">
        <f t="shared" ref="D16:D21" si="0">B16-C16</f>
        <v>1.1600000000000001</v>
      </c>
      <c r="E16" s="598">
        <f t="shared" ref="E16:E21" si="1">D16/4</f>
        <v>0.29000000000000004</v>
      </c>
      <c r="F16" s="599">
        <f>'Appendix J-2'!BD48</f>
        <v>320</v>
      </c>
      <c r="G16" s="600">
        <f t="shared" ref="G16:G21" si="2">E16*F16</f>
        <v>92.800000000000011</v>
      </c>
    </row>
    <row r="17" spans="1:7" x14ac:dyDescent="0.25">
      <c r="A17" t="s">
        <v>1160</v>
      </c>
      <c r="B17" s="598">
        <f>'Appendix J-2'!AZ49*4</f>
        <v>47.92</v>
      </c>
      <c r="C17" s="598">
        <f>'Appendix J-2'!BE49*4</f>
        <v>50.44</v>
      </c>
      <c r="D17" s="598">
        <f t="shared" si="0"/>
        <v>-2.519999999999996</v>
      </c>
      <c r="E17" s="598">
        <f t="shared" si="1"/>
        <v>-0.62999999999999901</v>
      </c>
      <c r="F17" s="599">
        <f>'Appendix J-2'!BD49</f>
        <v>68408.556957328372</v>
      </c>
      <c r="G17" s="600">
        <f t="shared" si="2"/>
        <v>-43097.390883116808</v>
      </c>
    </row>
    <row r="18" spans="1:7" x14ac:dyDescent="0.25">
      <c r="A18" t="s">
        <v>1161</v>
      </c>
      <c r="B18" s="598">
        <f>'Appendix J-2'!AZ50*4</f>
        <v>28.84</v>
      </c>
      <c r="C18" s="598">
        <f>'Appendix J-2'!BE50*4</f>
        <v>27.68</v>
      </c>
      <c r="D18" s="598">
        <f t="shared" si="0"/>
        <v>1.1600000000000001</v>
      </c>
      <c r="E18" s="598">
        <f t="shared" si="1"/>
        <v>0.29000000000000004</v>
      </c>
      <c r="F18" s="599">
        <f>'Appendix J-2'!BD50</f>
        <v>24331.188086580081</v>
      </c>
      <c r="G18" s="600">
        <f t="shared" si="2"/>
        <v>7056.0445451082242</v>
      </c>
    </row>
    <row r="19" spans="1:7" x14ac:dyDescent="0.25">
      <c r="A19" t="s">
        <v>1162</v>
      </c>
      <c r="B19" s="598">
        <f>'Appendix J-2'!AZ51*4</f>
        <v>47.92</v>
      </c>
      <c r="C19" s="598">
        <f>'Appendix J-2'!BE51*4</f>
        <v>50.44</v>
      </c>
      <c r="D19" s="598">
        <f t="shared" si="0"/>
        <v>-2.519999999999996</v>
      </c>
      <c r="E19" s="598">
        <f t="shared" si="1"/>
        <v>-0.62999999999999901</v>
      </c>
      <c r="F19" s="599">
        <f>'Appendix J-2'!BD51</f>
        <v>94946.431227544468</v>
      </c>
      <c r="G19" s="600">
        <f t="shared" si="2"/>
        <v>-59816.251673352919</v>
      </c>
    </row>
    <row r="20" spans="1:7" x14ac:dyDescent="0.25">
      <c r="A20" t="s">
        <v>1163</v>
      </c>
      <c r="B20" s="598">
        <f>'Appendix J-2'!AZ52*4</f>
        <v>28.84</v>
      </c>
      <c r="C20" s="598">
        <f>'Appendix J-2'!BE52*4</f>
        <v>27.68</v>
      </c>
      <c r="D20" s="598">
        <f t="shared" si="0"/>
        <v>1.1600000000000001</v>
      </c>
      <c r="E20" s="598">
        <f t="shared" si="1"/>
        <v>0.29000000000000004</v>
      </c>
      <c r="F20" s="599">
        <f>'Appendix J-2'!BD52</f>
        <v>60021.577540199149</v>
      </c>
      <c r="G20" s="600">
        <f t="shared" si="2"/>
        <v>17406.257486657756</v>
      </c>
    </row>
    <row r="21" spans="1:7" x14ac:dyDescent="0.25">
      <c r="A21" t="s">
        <v>542</v>
      </c>
      <c r="B21" s="598">
        <f>'Appendix J-2'!AZ53*4</f>
        <v>11.52</v>
      </c>
      <c r="C21" s="598">
        <f>'Appendix J-2'!BE53*4</f>
        <v>13.36</v>
      </c>
      <c r="D21" s="598">
        <f t="shared" si="0"/>
        <v>-1.8399999999999999</v>
      </c>
      <c r="E21" s="598">
        <f t="shared" si="1"/>
        <v>-0.45999999999999996</v>
      </c>
      <c r="F21" s="599">
        <f>'Appendix J-2'!BD53</f>
        <v>7996.7200678672434</v>
      </c>
      <c r="G21" s="600">
        <f t="shared" si="2"/>
        <v>-3678.4912312189317</v>
      </c>
    </row>
    <row r="22" spans="1:7" x14ac:dyDescent="0.25">
      <c r="A22" s="601" t="s">
        <v>1164</v>
      </c>
      <c r="B22" s="601"/>
      <c r="C22" s="601"/>
      <c r="D22" s="601"/>
      <c r="E22" s="601"/>
      <c r="F22" s="606">
        <f>SUM(F15:F21)</f>
        <v>257090.89980544525</v>
      </c>
      <c r="G22" s="602">
        <f>SUM(G15:G21)</f>
        <v>-82708.880089255996</v>
      </c>
    </row>
    <row r="25" spans="1:7" x14ac:dyDescent="0.25">
      <c r="A25" s="597"/>
    </row>
    <row r="26" spans="1:7" x14ac:dyDescent="0.25">
      <c r="A26" s="597"/>
    </row>
    <row r="27" spans="1:7" x14ac:dyDescent="0.25">
      <c r="A27" s="597"/>
    </row>
    <row r="28" spans="1:7" x14ac:dyDescent="0.25">
      <c r="A28" s="597"/>
    </row>
    <row r="29" spans="1:7" x14ac:dyDescent="0.25">
      <c r="A29" s="597"/>
    </row>
  </sheetData>
  <mergeCells count="6">
    <mergeCell ref="B1:C1"/>
    <mergeCell ref="E1:E2"/>
    <mergeCell ref="B7:C7"/>
    <mergeCell ref="E7:E8"/>
    <mergeCell ref="B13:C13"/>
    <mergeCell ref="E13:E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2:CI164"/>
  <sheetViews>
    <sheetView tabSelected="1" zoomScale="80" zoomScaleNormal="80" zoomScaleSheetLayoutView="100" zoomScalePageLayoutView="120" workbookViewId="0">
      <pane xSplit="3" ySplit="2" topLeftCell="AU3" activePane="bottomRight" state="frozen"/>
      <selection pane="topRight" activeCell="D1" sqref="D1"/>
      <selection pane="bottomLeft" activeCell="A3" sqref="A3"/>
      <selection pane="bottomRight" activeCell="BA175" sqref="BA175"/>
    </sheetView>
  </sheetViews>
  <sheetFormatPr defaultColWidth="9.140625" defaultRowHeight="15" x14ac:dyDescent="0.25"/>
  <cols>
    <col min="1" max="1" width="73.85546875" style="31" bestFit="1" customWidth="1"/>
    <col min="2" max="2" width="20" style="31" customWidth="1"/>
    <col min="3" max="3" width="16" style="31" bestFit="1" customWidth="1"/>
    <col min="4" max="4" width="8.5703125" style="74" bestFit="1" customWidth="1"/>
    <col min="5" max="5" width="10.85546875" style="74" bestFit="1" customWidth="1"/>
    <col min="6" max="6" width="13.85546875" style="74" bestFit="1" customWidth="1"/>
    <col min="7" max="7" width="15.7109375" style="238" bestFit="1" customWidth="1"/>
    <col min="8" max="8" width="16.28515625" style="238" bestFit="1" customWidth="1"/>
    <col min="9" max="9" width="8.5703125" style="74" bestFit="1" customWidth="1"/>
    <col min="10" max="10" width="14.42578125" style="74" bestFit="1" customWidth="1"/>
    <col min="11" max="11" width="13.85546875" style="74" bestFit="1" customWidth="1"/>
    <col min="12" max="12" width="14.85546875" style="238" bestFit="1" customWidth="1"/>
    <col min="13" max="13" width="17.28515625" style="238" bestFit="1" customWidth="1"/>
    <col min="14" max="14" width="8.5703125" style="74" bestFit="1" customWidth="1"/>
    <col min="15" max="15" width="11.28515625" style="74" bestFit="1" customWidth="1"/>
    <col min="16" max="16" width="13.85546875" style="74" bestFit="1" customWidth="1"/>
    <col min="17" max="17" width="15.7109375" style="238" bestFit="1" customWidth="1"/>
    <col min="18" max="18" width="17.28515625" style="238" bestFit="1" customWidth="1"/>
    <col min="19" max="19" width="8.5703125" style="176" bestFit="1" customWidth="1"/>
    <col min="20" max="20" width="11.28515625" style="176" bestFit="1" customWidth="1"/>
    <col min="21" max="21" width="13.85546875" style="176" bestFit="1" customWidth="1"/>
    <col min="22" max="22" width="11.28515625" style="187" customWidth="1"/>
    <col min="23" max="23" width="17.28515625" style="187" bestFit="1" customWidth="1"/>
    <col min="24" max="24" width="8.5703125" style="176" bestFit="1" customWidth="1"/>
    <col min="25" max="25" width="11.28515625" style="176" bestFit="1" customWidth="1"/>
    <col min="26" max="26" width="13.85546875" style="176" bestFit="1" customWidth="1"/>
    <col min="27" max="27" width="11.28515625" style="187" bestFit="1" customWidth="1"/>
    <col min="28" max="28" width="17.28515625" style="187" bestFit="1" customWidth="1"/>
    <col min="29" max="29" width="10.140625" style="176" bestFit="1" customWidth="1"/>
    <col min="30" max="30" width="10.85546875" style="176" bestFit="1" customWidth="1"/>
    <col min="31" max="31" width="13.85546875" style="176" bestFit="1" customWidth="1"/>
    <col min="32" max="32" width="14.85546875" style="187" bestFit="1" customWidth="1"/>
    <col min="33" max="33" width="17.28515625" style="187" bestFit="1" customWidth="1"/>
    <col min="34" max="34" width="10.140625" style="176" bestFit="1" customWidth="1"/>
    <col min="35" max="35" width="10.85546875" style="176" bestFit="1" customWidth="1"/>
    <col min="36" max="36" width="13.85546875" style="176" bestFit="1" customWidth="1"/>
    <col min="37" max="37" width="14.85546875" style="187" bestFit="1" customWidth="1"/>
    <col min="38" max="38" width="17.28515625" style="187" bestFit="1" customWidth="1"/>
    <col min="39" max="39" width="8.5703125" style="176" bestFit="1" customWidth="1"/>
    <col min="40" max="40" width="11.28515625" style="176" bestFit="1" customWidth="1"/>
    <col min="41" max="41" width="13.85546875" style="176" bestFit="1" customWidth="1"/>
    <col min="42" max="42" width="9.5703125" style="187" bestFit="1" customWidth="1"/>
    <col min="43" max="43" width="17.28515625" style="187" bestFit="1" customWidth="1"/>
    <col min="44" max="44" width="8.5703125" style="176" bestFit="1" customWidth="1"/>
    <col min="45" max="45" width="11.28515625" style="176" bestFit="1" customWidth="1"/>
    <col min="46" max="46" width="13.85546875" style="176" bestFit="1" customWidth="1"/>
    <col min="47" max="47" width="11.28515625" style="187" customWidth="1"/>
    <col min="48" max="48" width="17.28515625" style="187" bestFit="1" customWidth="1"/>
    <col min="49" max="49" width="11.28515625" style="176" customWidth="1"/>
    <col min="50" max="50" width="11.28515625" style="176" bestFit="1" customWidth="1"/>
    <col min="51" max="51" width="16.28515625" style="176" customWidth="1"/>
    <col min="52" max="52" width="11.28515625" style="187" customWidth="1"/>
    <col min="53" max="53" width="17.28515625" style="187" bestFit="1" customWidth="1"/>
    <col min="54" max="54" width="10.42578125" style="176" customWidth="1"/>
    <col min="55" max="55" width="11.28515625" style="176" bestFit="1" customWidth="1"/>
    <col min="56" max="56" width="14.7109375" style="176" customWidth="1"/>
    <col min="57" max="57" width="11.28515625" style="187" bestFit="1" customWidth="1"/>
    <col min="58" max="58" width="17.28515625" style="187" customWidth="1"/>
    <col min="59" max="59" width="8.5703125" style="176" customWidth="1"/>
    <col min="60" max="60" width="11.28515625" style="176" customWidth="1"/>
    <col min="61" max="61" width="13.85546875" style="176" customWidth="1"/>
    <col min="62" max="62" width="11.28515625" style="187" customWidth="1"/>
    <col min="63" max="63" width="17.28515625" style="187" customWidth="1"/>
    <col min="64" max="64" width="8.5703125" style="176" customWidth="1"/>
    <col min="65" max="65" width="11.28515625" style="176" customWidth="1"/>
    <col min="66" max="66" width="13.85546875" style="176" customWidth="1"/>
    <col min="67" max="67" width="11.28515625" style="187" customWidth="1"/>
    <col min="68" max="68" width="17.28515625" style="187" customWidth="1"/>
    <col min="69" max="69" width="8.5703125" style="176" customWidth="1"/>
    <col min="70" max="70" width="11.28515625" style="176" customWidth="1"/>
    <col min="71" max="71" width="13.85546875" style="176" customWidth="1"/>
    <col min="72" max="72" width="11.28515625" style="187" customWidth="1"/>
    <col min="73" max="73" width="17.28515625" style="187" customWidth="1"/>
    <col min="74" max="74" width="8.5703125" style="176" customWidth="1"/>
    <col min="75" max="75" width="11.28515625" style="176" customWidth="1"/>
    <col min="76" max="76" width="13.85546875" style="176" customWidth="1"/>
    <col min="77" max="77" width="11.28515625" style="187" customWidth="1"/>
    <col min="78" max="78" width="17.28515625" style="187" customWidth="1"/>
    <col min="79" max="79" width="0" style="31" hidden="1" customWidth="1"/>
    <col min="80" max="80" width="17.28515625" style="31" hidden="1" customWidth="1"/>
    <col min="81" max="81" width="20" style="31" hidden="1" customWidth="1"/>
    <col min="82" max="82" width="17.28515625" style="263" hidden="1" customWidth="1"/>
    <col min="83" max="83" width="9.140625" style="31" hidden="1" customWidth="1"/>
    <col min="84" max="84" width="20.140625" style="31" hidden="1" customWidth="1"/>
    <col min="85" max="16384" width="9.140625" style="31"/>
  </cols>
  <sheetData>
    <row r="2" spans="1:84" s="87" customFormat="1" x14ac:dyDescent="0.25">
      <c r="A2" s="622" t="s">
        <v>199</v>
      </c>
      <c r="B2" s="622"/>
      <c r="C2" s="622"/>
      <c r="D2" s="623" t="s">
        <v>159</v>
      </c>
      <c r="E2" s="623"/>
      <c r="F2" s="623"/>
      <c r="G2" s="623"/>
      <c r="H2" s="623"/>
      <c r="I2" s="623" t="s">
        <v>171</v>
      </c>
      <c r="J2" s="623"/>
      <c r="K2" s="623"/>
      <c r="L2" s="623"/>
      <c r="M2" s="623"/>
      <c r="N2" s="623" t="s">
        <v>182</v>
      </c>
      <c r="O2" s="623"/>
      <c r="P2" s="623"/>
      <c r="Q2" s="623"/>
      <c r="R2" s="623"/>
      <c r="S2" s="623" t="s">
        <v>165</v>
      </c>
      <c r="T2" s="623"/>
      <c r="U2" s="623"/>
      <c r="V2" s="623"/>
      <c r="W2" s="623"/>
      <c r="X2" s="621" t="s">
        <v>172</v>
      </c>
      <c r="Y2" s="621"/>
      <c r="Z2" s="621"/>
      <c r="AA2" s="621"/>
      <c r="AB2" s="621"/>
      <c r="AC2" s="648" t="s">
        <v>228</v>
      </c>
      <c r="AD2" s="648"/>
      <c r="AE2" s="648"/>
      <c r="AF2" s="648"/>
      <c r="AG2" s="648"/>
      <c r="AH2" s="648" t="s">
        <v>229</v>
      </c>
      <c r="AI2" s="648"/>
      <c r="AJ2" s="648"/>
      <c r="AK2" s="648"/>
      <c r="AL2" s="648"/>
      <c r="AM2" s="648" t="s">
        <v>230</v>
      </c>
      <c r="AN2" s="648"/>
      <c r="AO2" s="648"/>
      <c r="AP2" s="648"/>
      <c r="AQ2" s="648"/>
      <c r="AR2" s="648" t="s">
        <v>231</v>
      </c>
      <c r="AS2" s="648"/>
      <c r="AT2" s="648"/>
      <c r="AU2" s="648"/>
      <c r="AV2" s="648"/>
      <c r="AW2" s="648" t="s">
        <v>232</v>
      </c>
      <c r="AX2" s="648"/>
      <c r="AY2" s="648"/>
      <c r="AZ2" s="648"/>
      <c r="BA2" s="648"/>
      <c r="BB2" s="650" t="s">
        <v>233</v>
      </c>
      <c r="BC2" s="650"/>
      <c r="BD2" s="650"/>
      <c r="BE2" s="650"/>
      <c r="BF2" s="650"/>
      <c r="BG2" s="650" t="s">
        <v>234</v>
      </c>
      <c r="BH2" s="650"/>
      <c r="BI2" s="650"/>
      <c r="BJ2" s="650"/>
      <c r="BK2" s="650"/>
      <c r="BL2" s="650" t="s">
        <v>237</v>
      </c>
      <c r="BM2" s="650"/>
      <c r="BN2" s="650"/>
      <c r="BO2" s="650"/>
      <c r="BP2" s="650"/>
      <c r="BQ2" s="650" t="s">
        <v>236</v>
      </c>
      <c r="BR2" s="650"/>
      <c r="BS2" s="650"/>
      <c r="BT2" s="650"/>
      <c r="BU2" s="650"/>
      <c r="BV2" s="650" t="s">
        <v>235</v>
      </c>
      <c r="BW2" s="650"/>
      <c r="BX2" s="650"/>
      <c r="BY2" s="650"/>
      <c r="BZ2" s="650"/>
      <c r="CD2" s="263"/>
    </row>
    <row r="3" spans="1:84" ht="45" x14ac:dyDescent="0.25">
      <c r="A3" s="84" t="s">
        <v>148</v>
      </c>
      <c r="B3" s="84" t="s">
        <v>150</v>
      </c>
      <c r="C3" s="84" t="s">
        <v>151</v>
      </c>
      <c r="D3" s="174" t="s">
        <v>154</v>
      </c>
      <c r="E3" s="173" t="s">
        <v>155</v>
      </c>
      <c r="F3" s="173" t="s">
        <v>158</v>
      </c>
      <c r="G3" s="183" t="s">
        <v>156</v>
      </c>
      <c r="H3" s="183" t="s">
        <v>157</v>
      </c>
      <c r="I3" s="174" t="s">
        <v>154</v>
      </c>
      <c r="J3" s="173" t="s">
        <v>155</v>
      </c>
      <c r="K3" s="173" t="s">
        <v>158</v>
      </c>
      <c r="L3" s="182" t="s">
        <v>156</v>
      </c>
      <c r="M3" s="183" t="s">
        <v>157</v>
      </c>
      <c r="N3" s="174" t="s">
        <v>154</v>
      </c>
      <c r="O3" s="173" t="s">
        <v>155</v>
      </c>
      <c r="P3" s="173" t="s">
        <v>158</v>
      </c>
      <c r="Q3" s="183" t="s">
        <v>156</v>
      </c>
      <c r="R3" s="183" t="s">
        <v>157</v>
      </c>
      <c r="S3" s="174" t="s">
        <v>154</v>
      </c>
      <c r="T3" s="173" t="s">
        <v>155</v>
      </c>
      <c r="U3" s="173" t="s">
        <v>158</v>
      </c>
      <c r="V3" s="182" t="s">
        <v>156</v>
      </c>
      <c r="W3" s="183" t="s">
        <v>157</v>
      </c>
      <c r="X3" s="174" t="s">
        <v>154</v>
      </c>
      <c r="Y3" s="173" t="s">
        <v>155</v>
      </c>
      <c r="Z3" s="173" t="s">
        <v>158</v>
      </c>
      <c r="AA3" s="182" t="s">
        <v>156</v>
      </c>
      <c r="AB3" s="183" t="s">
        <v>157</v>
      </c>
      <c r="AC3" s="179" t="s">
        <v>154</v>
      </c>
      <c r="AD3" s="178" t="s">
        <v>155</v>
      </c>
      <c r="AE3" s="178" t="s">
        <v>158</v>
      </c>
      <c r="AF3" s="189" t="s">
        <v>156</v>
      </c>
      <c r="AG3" s="190" t="s">
        <v>157</v>
      </c>
      <c r="AH3" s="179" t="s">
        <v>154</v>
      </c>
      <c r="AI3" s="178" t="s">
        <v>155</v>
      </c>
      <c r="AJ3" s="178" t="s">
        <v>158</v>
      </c>
      <c r="AK3" s="189" t="s">
        <v>156</v>
      </c>
      <c r="AL3" s="190" t="s">
        <v>157</v>
      </c>
      <c r="AM3" s="179" t="s">
        <v>154</v>
      </c>
      <c r="AN3" s="178" t="s">
        <v>155</v>
      </c>
      <c r="AO3" s="178" t="s">
        <v>158</v>
      </c>
      <c r="AP3" s="189" t="s">
        <v>156</v>
      </c>
      <c r="AQ3" s="190" t="s">
        <v>157</v>
      </c>
      <c r="AR3" s="179" t="s">
        <v>154</v>
      </c>
      <c r="AS3" s="178" t="s">
        <v>155</v>
      </c>
      <c r="AT3" s="178" t="s">
        <v>158</v>
      </c>
      <c r="AU3" s="189" t="s">
        <v>156</v>
      </c>
      <c r="AV3" s="190" t="s">
        <v>157</v>
      </c>
      <c r="AW3" s="179" t="s">
        <v>154</v>
      </c>
      <c r="AX3" s="178" t="s">
        <v>155</v>
      </c>
      <c r="AY3" s="178" t="s">
        <v>158</v>
      </c>
      <c r="AZ3" s="189" t="s">
        <v>156</v>
      </c>
      <c r="BA3" s="190" t="s">
        <v>157</v>
      </c>
      <c r="BB3" s="181" t="s">
        <v>154</v>
      </c>
      <c r="BC3" s="180" t="s">
        <v>155</v>
      </c>
      <c r="BD3" s="180" t="s">
        <v>158</v>
      </c>
      <c r="BE3" s="192" t="s">
        <v>156</v>
      </c>
      <c r="BF3" s="193" t="s">
        <v>157</v>
      </c>
      <c r="BG3" s="181" t="s">
        <v>154</v>
      </c>
      <c r="BH3" s="180" t="s">
        <v>155</v>
      </c>
      <c r="BI3" s="180" t="s">
        <v>158</v>
      </c>
      <c r="BJ3" s="192" t="s">
        <v>156</v>
      </c>
      <c r="BK3" s="193" t="s">
        <v>157</v>
      </c>
      <c r="BL3" s="181" t="s">
        <v>154</v>
      </c>
      <c r="BM3" s="180" t="s">
        <v>155</v>
      </c>
      <c r="BN3" s="180" t="s">
        <v>158</v>
      </c>
      <c r="BO3" s="192" t="s">
        <v>156</v>
      </c>
      <c r="BP3" s="193" t="s">
        <v>157</v>
      </c>
      <c r="BQ3" s="181" t="s">
        <v>154</v>
      </c>
      <c r="BR3" s="180" t="s">
        <v>155</v>
      </c>
      <c r="BS3" s="180" t="s">
        <v>158</v>
      </c>
      <c r="BT3" s="192" t="s">
        <v>156</v>
      </c>
      <c r="BU3" s="193" t="s">
        <v>157</v>
      </c>
      <c r="BV3" s="181" t="s">
        <v>154</v>
      </c>
      <c r="BW3" s="180" t="s">
        <v>155</v>
      </c>
      <c r="BX3" s="180" t="s">
        <v>158</v>
      </c>
      <c r="BY3" s="192" t="s">
        <v>156</v>
      </c>
      <c r="BZ3" s="193" t="s">
        <v>157</v>
      </c>
      <c r="CB3" s="280" t="s">
        <v>340</v>
      </c>
      <c r="CC3" s="280" t="s">
        <v>341</v>
      </c>
      <c r="CD3" s="263" t="s">
        <v>342</v>
      </c>
      <c r="CF3" s="575" t="s">
        <v>1101</v>
      </c>
    </row>
    <row r="4" spans="1:84" ht="15" customHeight="1" x14ac:dyDescent="0.25">
      <c r="A4" s="85" t="s">
        <v>360</v>
      </c>
      <c r="B4" s="164" t="s">
        <v>184</v>
      </c>
      <c r="C4" s="591" t="s">
        <v>152</v>
      </c>
      <c r="D4" s="167">
        <v>648</v>
      </c>
      <c r="E4" s="167">
        <f>F4/D4</f>
        <v>18.537037037037038</v>
      </c>
      <c r="F4" s="167">
        <v>12012</v>
      </c>
      <c r="G4" s="184">
        <f>H4/F4</f>
        <v>13.708791208791208</v>
      </c>
      <c r="H4" s="184">
        <v>164670</v>
      </c>
      <c r="I4" s="167">
        <v>624</v>
      </c>
      <c r="J4" s="167">
        <f>K4/I4</f>
        <v>27.080128205128204</v>
      </c>
      <c r="K4" s="167">
        <v>16898</v>
      </c>
      <c r="L4" s="184">
        <f>M4/K4</f>
        <v>13.300612498520534</v>
      </c>
      <c r="M4" s="184">
        <v>224753.75</v>
      </c>
      <c r="N4" s="167">
        <v>816</v>
      </c>
      <c r="O4" s="167">
        <f>P4/N4</f>
        <v>28.301470588235293</v>
      </c>
      <c r="P4" s="167">
        <v>23094</v>
      </c>
      <c r="Q4" s="184">
        <f>R4/P4</f>
        <v>13.587224820299644</v>
      </c>
      <c r="R4" s="184">
        <v>313783.37</v>
      </c>
      <c r="S4" s="167">
        <v>740</v>
      </c>
      <c r="T4" s="167">
        <f>U4/S4</f>
        <v>29.155405405405407</v>
      </c>
      <c r="U4" s="167">
        <v>21575</v>
      </c>
      <c r="V4" s="184">
        <f t="shared" ref="V4:V38" si="0">W4/U4</f>
        <v>13.731700579374277</v>
      </c>
      <c r="W4" s="184">
        <v>296261.44</v>
      </c>
      <c r="X4" s="167">
        <v>817</v>
      </c>
      <c r="Y4" s="167">
        <f>Z4/X4</f>
        <v>25.648102815177477</v>
      </c>
      <c r="Z4" s="167">
        <v>20954.5</v>
      </c>
      <c r="AA4" s="184">
        <f>AB4/Z4</f>
        <v>13.727391729700065</v>
      </c>
      <c r="AB4" s="184">
        <v>287650.63</v>
      </c>
      <c r="AC4" s="167">
        <v>1412</v>
      </c>
      <c r="AD4" s="167">
        <f>AE4/AC4</f>
        <v>22.263456090651559</v>
      </c>
      <c r="AE4" s="167">
        <v>31436</v>
      </c>
      <c r="AF4" s="184">
        <f>AG4/AE4</f>
        <v>13.733854498027739</v>
      </c>
      <c r="AG4" s="184">
        <v>431737.45</v>
      </c>
      <c r="AH4" s="167">
        <v>1296</v>
      </c>
      <c r="AI4" s="167">
        <f>AJ4/AH4</f>
        <v>34.846450617283949</v>
      </c>
      <c r="AJ4" s="167">
        <v>45161</v>
      </c>
      <c r="AK4" s="184">
        <f t="shared" ref="AK4:AK38" si="1">AL4/AJ4</f>
        <v>13.738425854166206</v>
      </c>
      <c r="AL4" s="184">
        <v>620441.05000000005</v>
      </c>
      <c r="AM4" s="167">
        <v>898</v>
      </c>
      <c r="AN4" s="167">
        <f>AO4/AM4</f>
        <v>50.854120267260576</v>
      </c>
      <c r="AO4" s="167">
        <v>45667</v>
      </c>
      <c r="AP4" s="184">
        <f>AQ4/AO4</f>
        <v>13.725913022532684</v>
      </c>
      <c r="AQ4" s="184">
        <v>626821.27</v>
      </c>
      <c r="AR4" s="167">
        <v>852</v>
      </c>
      <c r="AS4" s="167">
        <f>AT4/AR4</f>
        <v>43.724178403755872</v>
      </c>
      <c r="AT4" s="167">
        <v>37253</v>
      </c>
      <c r="AU4" s="184">
        <f>AV4/AT4</f>
        <v>15.743788151289829</v>
      </c>
      <c r="AV4" s="184">
        <v>586503.34</v>
      </c>
      <c r="AW4" s="167">
        <f>'Factor D Back Up'!D14</f>
        <v>951</v>
      </c>
      <c r="AX4" s="167">
        <f>'Factor D Back Up'!E14</f>
        <v>46.012418191933037</v>
      </c>
      <c r="AY4" s="167">
        <f>'Factor D Back Up'!F14</f>
        <v>43757.80970052832</v>
      </c>
      <c r="AZ4" s="184">
        <f>'Factor D Back Up'!G14</f>
        <v>16.420000000000002</v>
      </c>
      <c r="BA4" s="184">
        <f>'Factor D Back Up'!H14</f>
        <v>718503.23528267513</v>
      </c>
      <c r="BB4" s="167">
        <f>'Factor D Back Up'!D15</f>
        <v>951</v>
      </c>
      <c r="BC4" s="167">
        <f>'Factor D Back Up'!E15</f>
        <v>48.983560731876636</v>
      </c>
      <c r="BD4" s="167">
        <f>'Factor D Back Up'!F15</f>
        <v>46583.366256014684</v>
      </c>
      <c r="BE4" s="184">
        <f>'Factor D Back Up'!G15</f>
        <v>16.846920000000001</v>
      </c>
      <c r="BF4" s="184">
        <f>'Factor D Back Up'!H15</f>
        <v>784786.2446457789</v>
      </c>
      <c r="BG4" s="167">
        <f>'Factor D Back Up'!D16</f>
        <v>951</v>
      </c>
      <c r="BH4" s="167">
        <f>'Factor D Back Up'!E16</f>
        <v>51.954703271820222</v>
      </c>
      <c r="BI4" s="167">
        <f>'Factor D Back Up'!F16</f>
        <v>49408.922811501034</v>
      </c>
      <c r="BJ4" s="184">
        <f>'Factor D Back Up'!G16</f>
        <v>17.284939919999999</v>
      </c>
      <c r="BK4" s="184">
        <f>'Factor D Back Up'!H16</f>
        <v>854030.26230871282</v>
      </c>
      <c r="BL4" s="167">
        <f>'Factor D Back Up'!D17</f>
        <v>951</v>
      </c>
      <c r="BM4" s="167">
        <f>'Factor D Back Up'!E17</f>
        <v>54.925845811763821</v>
      </c>
      <c r="BN4" s="167">
        <f>'Factor D Back Up'!F17</f>
        <v>52234.479366987391</v>
      </c>
      <c r="BO4" s="184">
        <f>'Factor D Back Up'!G17</f>
        <v>17.734348357919998</v>
      </c>
      <c r="BP4" s="184">
        <f>'Factor D Back Up'!H17</f>
        <v>926344.45338873891</v>
      </c>
      <c r="BQ4" s="167">
        <f>'Factor D Back Up'!D18</f>
        <v>951</v>
      </c>
      <c r="BR4" s="167">
        <f>'Factor D Back Up'!E18</f>
        <v>57.896988351707421</v>
      </c>
      <c r="BS4" s="167">
        <f>'Factor D Back Up'!F18</f>
        <v>55060.035922473755</v>
      </c>
      <c r="BT4" s="184">
        <f>'Factor D Back Up'!G18</f>
        <v>18.195441415225918</v>
      </c>
      <c r="BU4" s="184">
        <f>'Factor D Back Up'!H18</f>
        <v>1001841.6579476057</v>
      </c>
      <c r="BV4" s="167">
        <f>'Factor D Back Up'!D19</f>
        <v>951</v>
      </c>
      <c r="BW4" s="167">
        <f>'Factor D Back Up'!E19</f>
        <v>60.86813089165102</v>
      </c>
      <c r="BX4" s="167">
        <f>'Factor D Back Up'!F19</f>
        <v>57885.592477960119</v>
      </c>
      <c r="BY4" s="184">
        <f>'Factor D Back Up'!G19</f>
        <v>18.668522892021791</v>
      </c>
      <c r="BZ4" s="184">
        <f>'Factor D Back Up'!H19</f>
        <v>1080638.5082930429</v>
      </c>
      <c r="CB4" s="187">
        <f>SUM(BZ4,BU4,BP4,BK4,BF4,BA4,AV4,AQ4,AL4,AG4,AB4,W4)</f>
        <v>8215559.5418665558</v>
      </c>
      <c r="CC4" s="187">
        <f>'linked - DO NOT USE or DELETE'!H4+'linked - DO NOT USE or DELETE'!M4+'linked - DO NOT USE or DELETE'!R4</f>
        <v>703207.12</v>
      </c>
      <c r="CD4" s="281">
        <f>CB4+CC4</f>
        <v>8918766.661866555</v>
      </c>
      <c r="CF4" s="576">
        <f>SUM(H4,M4,R4,W4,AB4,AG4,AL4,AQ4,AV4,BA4,BF4,BK4,BP4,BU4,BZ4)</f>
        <v>8918766.6618665531</v>
      </c>
    </row>
    <row r="5" spans="1:84" ht="15" customHeight="1" x14ac:dyDescent="0.25">
      <c r="A5" s="79" t="s">
        <v>330</v>
      </c>
      <c r="B5" s="165" t="s">
        <v>184</v>
      </c>
      <c r="C5" s="590" t="s">
        <v>152</v>
      </c>
      <c r="D5" s="167">
        <v>0</v>
      </c>
      <c r="E5" s="167" t="e">
        <f t="shared" ref="E5:E7" si="2">F5/D5</f>
        <v>#DIV/0!</v>
      </c>
      <c r="F5" s="167">
        <v>0</v>
      </c>
      <c r="G5" s="184" t="e">
        <f t="shared" ref="G5:G7" si="3">H5/F5</f>
        <v>#DIV/0!</v>
      </c>
      <c r="H5" s="184">
        <v>0</v>
      </c>
      <c r="I5" s="167">
        <v>28</v>
      </c>
      <c r="J5" s="167">
        <f>K5/I5</f>
        <v>96.321428571428569</v>
      </c>
      <c r="K5" s="167">
        <v>2697</v>
      </c>
      <c r="L5" s="184">
        <f>M5/K5</f>
        <v>18.699254727474973</v>
      </c>
      <c r="M5" s="184">
        <v>50431.89</v>
      </c>
      <c r="N5" s="167">
        <v>51</v>
      </c>
      <c r="O5" s="167">
        <f>P5/N5</f>
        <v>122.98039215686275</v>
      </c>
      <c r="P5" s="167">
        <v>6272</v>
      </c>
      <c r="Q5" s="184">
        <f>R5/P5</f>
        <v>18.701575255102039</v>
      </c>
      <c r="R5" s="184">
        <v>117296.28</v>
      </c>
      <c r="S5" s="167">
        <v>49</v>
      </c>
      <c r="T5" s="167">
        <f t="shared" ref="T5:T72" si="4">U5/S5</f>
        <v>77.632653061224488</v>
      </c>
      <c r="U5" s="167">
        <v>3804</v>
      </c>
      <c r="V5" s="184">
        <f t="shared" si="0"/>
        <v>18.707939011566772</v>
      </c>
      <c r="W5" s="184">
        <v>71165</v>
      </c>
      <c r="X5" s="167">
        <v>80</v>
      </c>
      <c r="Y5" s="167">
        <f t="shared" ref="Y5:Y72" si="5">Z5/X5</f>
        <v>63.4</v>
      </c>
      <c r="Z5" s="167">
        <v>5072</v>
      </c>
      <c r="AA5" s="184">
        <f t="shared" ref="AA5:AA72" si="6">AB5/Z5</f>
        <v>18.75</v>
      </c>
      <c r="AB5" s="184">
        <v>95100</v>
      </c>
      <c r="AC5" s="167">
        <v>313</v>
      </c>
      <c r="AD5" s="167">
        <f t="shared" ref="AD5:AD72" si="7">AE5/AC5</f>
        <v>65.897763578274763</v>
      </c>
      <c r="AE5" s="167">
        <v>20626</v>
      </c>
      <c r="AF5" s="184">
        <f t="shared" ref="AF5:AF72" si="8">AG5/AE5</f>
        <v>18.75</v>
      </c>
      <c r="AG5" s="184">
        <v>386737.5</v>
      </c>
      <c r="AH5" s="167">
        <f>437+17</f>
        <v>454</v>
      </c>
      <c r="AI5" s="167">
        <f t="shared" ref="AI5:AI72" si="9">AJ5/AH5</f>
        <v>94.960352422907491</v>
      </c>
      <c r="AJ5" s="167">
        <f>41584+1528</f>
        <v>43112</v>
      </c>
      <c r="AK5" s="184">
        <f t="shared" si="1"/>
        <v>18.75</v>
      </c>
      <c r="AL5" s="184">
        <f>779700+28650</f>
        <v>808350</v>
      </c>
      <c r="AM5" s="167">
        <f>372+10</f>
        <v>382</v>
      </c>
      <c r="AN5" s="167">
        <f t="shared" ref="AN5:AN72" si="10">AO5/AM5</f>
        <v>148.90052356020942</v>
      </c>
      <c r="AO5" s="167">
        <f>692+56188</f>
        <v>56880</v>
      </c>
      <c r="AP5" s="184">
        <f t="shared" ref="AP5:AP72" si="11">AQ5/AO5</f>
        <v>18.75</v>
      </c>
      <c r="AQ5" s="184">
        <f>1053525+12975</f>
        <v>1066500</v>
      </c>
      <c r="AR5" s="167">
        <f>22+387</f>
        <v>409</v>
      </c>
      <c r="AS5" s="167">
        <f t="shared" ref="AS5:AS72" si="12">AT5/AR5</f>
        <v>176.11735941320293</v>
      </c>
      <c r="AT5" s="167">
        <f>69364+2668</f>
        <v>72032</v>
      </c>
      <c r="AU5" s="184">
        <f t="shared" ref="AU5:AU72" si="13">AV5/AT5</f>
        <v>18.762054087072414</v>
      </c>
      <c r="AV5" s="184">
        <f>1301413.76+50054.52</f>
        <v>1351468.28</v>
      </c>
      <c r="AW5" s="167">
        <f>'Factor D Back Up'!D364</f>
        <v>442</v>
      </c>
      <c r="AX5" s="167">
        <f>'Factor D Back Up'!E364</f>
        <v>145.56129309046796</v>
      </c>
      <c r="AY5" s="167">
        <f>'Factor D Back Up'!F364</f>
        <v>64338.091545986834</v>
      </c>
      <c r="AZ5" s="184">
        <f>'Factor D Back Up'!G364</f>
        <v>18.940000000000001</v>
      </c>
      <c r="BA5" s="184">
        <f>'Factor D Back Up'!H364</f>
        <v>1218563.4538809906</v>
      </c>
      <c r="BB5" s="167">
        <f>'Factor D Back Up'!D365</f>
        <v>521</v>
      </c>
      <c r="BC5" s="167">
        <f>'Factor D Back Up'!E365</f>
        <v>154.40240064490223</v>
      </c>
      <c r="BD5" s="167">
        <f>'Factor D Back Up'!F365</f>
        <v>80443.650735994059</v>
      </c>
      <c r="BE5" s="184">
        <f>'Factor D Back Up'!G365</f>
        <v>19.43244</v>
      </c>
      <c r="BF5" s="184">
        <f>'Factor D Back Up'!H365</f>
        <v>1563216.4163081604</v>
      </c>
      <c r="BG5" s="167">
        <f>'Factor D Back Up'!D366</f>
        <v>578</v>
      </c>
      <c r="BH5" s="167">
        <f>'Factor D Back Up'!E366</f>
        <v>163.24350819933647</v>
      </c>
      <c r="BI5" s="167">
        <f>'Factor D Back Up'!F366</f>
        <v>94354.747739216487</v>
      </c>
      <c r="BJ5" s="184">
        <f>'Factor D Back Up'!G366</f>
        <v>19.937683440000001</v>
      </c>
      <c r="BK5" s="184">
        <f>'Factor D Back Up'!H366</f>
        <v>1881215.0914855541</v>
      </c>
      <c r="BL5" s="167">
        <f>'Factor D Back Up'!D367</f>
        <v>611</v>
      </c>
      <c r="BM5" s="167">
        <f>'Factor D Back Up'!E367</f>
        <v>172.08461575377075</v>
      </c>
      <c r="BN5" s="167">
        <f>'Factor D Back Up'!F367</f>
        <v>105143.70022555393</v>
      </c>
      <c r="BO5" s="184">
        <f>'Factor D Back Up'!G367</f>
        <v>20.45606320944</v>
      </c>
      <c r="BP5" s="184">
        <f>'Factor D Back Up'!H367</f>
        <v>2150826.1778883417</v>
      </c>
      <c r="BQ5" s="167">
        <f>'Factor D Back Up'!D368</f>
        <v>645</v>
      </c>
      <c r="BR5" s="167">
        <f>'Factor D Back Up'!E368</f>
        <v>180.92572330820499</v>
      </c>
      <c r="BS5" s="167">
        <f>'Factor D Back Up'!F368</f>
        <v>116697.09153379222</v>
      </c>
      <c r="BT5" s="184">
        <f>'Factor D Back Up'!G368</f>
        <v>20.987920852885441</v>
      </c>
      <c r="BU5" s="184">
        <f>'Factor D Back Up'!H368</f>
        <v>2449229.320873159</v>
      </c>
      <c r="BV5" s="167">
        <f>'Factor D Back Up'!D369</f>
        <v>679</v>
      </c>
      <c r="BW5" s="167">
        <f>'Factor D Back Up'!E369</f>
        <v>189.76683086263927</v>
      </c>
      <c r="BX5" s="167">
        <f>'Factor D Back Up'!F369</f>
        <v>128851.67815573206</v>
      </c>
      <c r="BY5" s="184">
        <f>'Factor D Back Up'!G369</f>
        <v>21.533606795060464</v>
      </c>
      <c r="BZ5" s="184">
        <f>'Factor D Back Up'!H369</f>
        <v>2774641.3722892161</v>
      </c>
      <c r="CB5" s="187">
        <f t="shared" ref="CB5:CB72" si="14">SUM(BZ5,BU5,BP5,BK5,BF5,BA5,AV5,AQ5,AL5,AG5,AB5,W5)</f>
        <v>15817012.612725422</v>
      </c>
      <c r="CC5" s="187">
        <f>'linked - DO NOT USE or DELETE'!H25+'linked - DO NOT USE or DELETE'!M25+'linked - DO NOT USE or DELETE'!R25</f>
        <v>167728.16999999998</v>
      </c>
      <c r="CD5" s="281">
        <f t="shared" ref="CD5:CD72" si="15">CB5+CC5</f>
        <v>15984740.782725422</v>
      </c>
      <c r="CF5" s="576">
        <f t="shared" ref="CF5:CF68" si="16">SUM(H5,M5,R5,W5,AB5,AG5,AL5,AQ5,AV5,BA5,BF5,BK5,BP5,BU5,BZ5)</f>
        <v>15984740.782725422</v>
      </c>
    </row>
    <row r="6" spans="1:84" ht="15" customHeight="1" x14ac:dyDescent="0.25">
      <c r="A6" s="79" t="s">
        <v>361</v>
      </c>
      <c r="B6" s="165" t="s">
        <v>184</v>
      </c>
      <c r="C6" s="590" t="s">
        <v>152</v>
      </c>
      <c r="D6" s="167">
        <v>0</v>
      </c>
      <c r="E6" s="167" t="e">
        <f t="shared" si="2"/>
        <v>#DIV/0!</v>
      </c>
      <c r="F6" s="167">
        <v>0</v>
      </c>
      <c r="G6" s="184" t="e">
        <f t="shared" si="3"/>
        <v>#DIV/0!</v>
      </c>
      <c r="H6" s="184">
        <v>0</v>
      </c>
      <c r="I6" s="167">
        <v>0</v>
      </c>
      <c r="J6" s="167" t="e">
        <f t="shared" ref="J6:J7" si="17">K6/I6</f>
        <v>#DIV/0!</v>
      </c>
      <c r="K6" s="167">
        <v>0</v>
      </c>
      <c r="L6" s="184" t="e">
        <f t="shared" ref="L6:L7" si="18">M6/K6</f>
        <v>#DIV/0!</v>
      </c>
      <c r="M6" s="184">
        <v>0</v>
      </c>
      <c r="N6" s="167">
        <v>0</v>
      </c>
      <c r="O6" s="167" t="e">
        <f t="shared" ref="O6" si="19">P6/N6</f>
        <v>#DIV/0!</v>
      </c>
      <c r="P6" s="167">
        <v>0</v>
      </c>
      <c r="Q6" s="184" t="e">
        <f t="shared" ref="Q6" si="20">R6/P6</f>
        <v>#DIV/0!</v>
      </c>
      <c r="R6" s="184">
        <v>0</v>
      </c>
      <c r="S6" s="167">
        <v>0</v>
      </c>
      <c r="T6" s="167" t="e">
        <f t="shared" si="4"/>
        <v>#DIV/0!</v>
      </c>
      <c r="U6" s="167">
        <v>0</v>
      </c>
      <c r="V6" s="184" t="e">
        <f t="shared" si="0"/>
        <v>#DIV/0!</v>
      </c>
      <c r="W6" s="184">
        <v>0</v>
      </c>
      <c r="X6" s="167">
        <v>0</v>
      </c>
      <c r="Y6" s="167" t="e">
        <f t="shared" si="5"/>
        <v>#DIV/0!</v>
      </c>
      <c r="Z6" s="167">
        <v>0</v>
      </c>
      <c r="AA6" s="184" t="e">
        <f t="shared" si="6"/>
        <v>#DIV/0!</v>
      </c>
      <c r="AB6" s="184">
        <v>0</v>
      </c>
      <c r="AC6" s="167">
        <v>0</v>
      </c>
      <c r="AD6" s="167" t="e">
        <f t="shared" si="7"/>
        <v>#DIV/0!</v>
      </c>
      <c r="AE6" s="167">
        <v>0</v>
      </c>
      <c r="AF6" s="184" t="e">
        <f t="shared" si="8"/>
        <v>#DIV/0!</v>
      </c>
      <c r="AG6" s="184">
        <v>0</v>
      </c>
      <c r="AH6" s="167">
        <v>0</v>
      </c>
      <c r="AI6" s="167" t="e">
        <f t="shared" si="9"/>
        <v>#DIV/0!</v>
      </c>
      <c r="AJ6" s="167">
        <v>0</v>
      </c>
      <c r="AK6" s="184" t="e">
        <f t="shared" si="1"/>
        <v>#DIV/0!</v>
      </c>
      <c r="AL6" s="184">
        <v>0</v>
      </c>
      <c r="AM6" s="167">
        <v>0</v>
      </c>
      <c r="AN6" s="167" t="e">
        <f t="shared" si="10"/>
        <v>#DIV/0!</v>
      </c>
      <c r="AO6" s="167">
        <v>0</v>
      </c>
      <c r="AP6" s="184" t="e">
        <f t="shared" si="11"/>
        <v>#DIV/0!</v>
      </c>
      <c r="AQ6" s="184">
        <v>0</v>
      </c>
      <c r="AR6" s="167">
        <v>0</v>
      </c>
      <c r="AS6" s="167" t="e">
        <f t="shared" si="12"/>
        <v>#DIV/0!</v>
      </c>
      <c r="AT6" s="167">
        <v>0</v>
      </c>
      <c r="AU6" s="184" t="e">
        <f t="shared" si="13"/>
        <v>#DIV/0!</v>
      </c>
      <c r="AV6" s="184">
        <v>0</v>
      </c>
      <c r="AW6" s="167">
        <f>'Factor D Back Up'!D1306</f>
        <v>4</v>
      </c>
      <c r="AX6" s="167">
        <f>'Factor D Back Up'!E1306</f>
        <v>32.078751187084521</v>
      </c>
      <c r="AY6" s="167">
        <f>'Factor D Back Up'!F1306</f>
        <v>128.31500474833808</v>
      </c>
      <c r="AZ6" s="184">
        <f>'Factor D Back Up'!G1306</f>
        <v>16.420000000000002</v>
      </c>
      <c r="BA6" s="184">
        <f>'Factor D Back Up'!H1306</f>
        <v>2106.9323779677115</v>
      </c>
      <c r="BB6" s="167">
        <f>'Factor D Back Up'!D1307</f>
        <v>4</v>
      </c>
      <c r="BC6" s="167">
        <f>'Factor D Back Up'!E1307</f>
        <v>27.856194207027542</v>
      </c>
      <c r="BD6" s="167">
        <f>'Factor D Back Up'!F1307</f>
        <v>111.42477682811017</v>
      </c>
      <c r="BE6" s="184">
        <f>'Factor D Back Up'!G1307</f>
        <v>16.846920000000001</v>
      </c>
      <c r="BF6" s="184">
        <f>'Factor D Back Up'!H1307</f>
        <v>1877.1643012410259</v>
      </c>
      <c r="BG6" s="167">
        <f>'Factor D Back Up'!D1308</f>
        <v>5</v>
      </c>
      <c r="BH6" s="167">
        <f>'Factor D Back Up'!E1308</f>
        <v>23.633637226970563</v>
      </c>
      <c r="BI6" s="167">
        <f>'Factor D Back Up'!F1308</f>
        <v>118.16818613485282</v>
      </c>
      <c r="BJ6" s="184">
        <f>'Factor D Back Up'!G1308</f>
        <v>17.284939919999999</v>
      </c>
      <c r="BK6" s="184">
        <f>'Factor D Back Up'!H1308</f>
        <v>2042.529997796308</v>
      </c>
      <c r="BL6" s="167">
        <f>'Factor D Back Up'!D1309</f>
        <v>5</v>
      </c>
      <c r="BM6" s="167">
        <f>'Factor D Back Up'!E1309</f>
        <v>19.411080246913585</v>
      </c>
      <c r="BN6" s="167">
        <f>'Factor D Back Up'!F1309</f>
        <v>97.055401234567924</v>
      </c>
      <c r="BO6" s="184">
        <f>'Factor D Back Up'!G1309</f>
        <v>17.734348357919998</v>
      </c>
      <c r="BP6" s="184">
        <f>'Factor D Back Up'!H1309</f>
        <v>1721.2142955115262</v>
      </c>
      <c r="BQ6" s="167">
        <f>'Factor D Back Up'!D1310</f>
        <v>5</v>
      </c>
      <c r="BR6" s="167">
        <f>'Factor D Back Up'!E1310</f>
        <v>15.188523266856606</v>
      </c>
      <c r="BS6" s="167">
        <f>'Factor D Back Up'!F1310</f>
        <v>75.942616334283031</v>
      </c>
      <c r="BT6" s="184">
        <f>'Factor D Back Up'!G1310</f>
        <v>18.195441415225918</v>
      </c>
      <c r="BU6" s="184">
        <f>'Factor D Back Up'!H1310</f>
        <v>1381.8094264294257</v>
      </c>
      <c r="BV6" s="167">
        <f>'Factor D Back Up'!D1311</f>
        <v>5</v>
      </c>
      <c r="BW6" s="167">
        <f>'Factor D Back Up'!E1311</f>
        <v>10.965966286799627</v>
      </c>
      <c r="BX6" s="167">
        <f>'Factor D Back Up'!F1311</f>
        <v>54.829831433998137</v>
      </c>
      <c r="BY6" s="184">
        <f>'Factor D Back Up'!G1311</f>
        <v>18.668522892021791</v>
      </c>
      <c r="BZ6" s="184">
        <f>'Factor D Back Up'!H1311</f>
        <v>1023.5919632912902</v>
      </c>
      <c r="CB6" s="187">
        <f t="shared" si="14"/>
        <v>10153.242362237288</v>
      </c>
      <c r="CC6" s="187"/>
      <c r="CD6" s="281">
        <f t="shared" si="15"/>
        <v>10153.242362237288</v>
      </c>
      <c r="CF6" s="576">
        <f t="shared" si="16"/>
        <v>10153.242362237286</v>
      </c>
    </row>
    <row r="7" spans="1:84" ht="15" customHeight="1" x14ac:dyDescent="0.25">
      <c r="A7" s="79" t="s">
        <v>362</v>
      </c>
      <c r="B7" s="165" t="s">
        <v>184</v>
      </c>
      <c r="C7" s="590" t="s">
        <v>152</v>
      </c>
      <c r="D7" s="167">
        <v>0</v>
      </c>
      <c r="E7" s="167" t="e">
        <f t="shared" si="2"/>
        <v>#DIV/0!</v>
      </c>
      <c r="F7" s="167">
        <v>0</v>
      </c>
      <c r="G7" s="184" t="e">
        <f t="shared" si="3"/>
        <v>#DIV/0!</v>
      </c>
      <c r="H7" s="184">
        <v>0</v>
      </c>
      <c r="I7" s="167">
        <v>0</v>
      </c>
      <c r="J7" s="167" t="e">
        <f t="shared" si="17"/>
        <v>#DIV/0!</v>
      </c>
      <c r="K7" s="167">
        <v>0</v>
      </c>
      <c r="L7" s="184" t="e">
        <f t="shared" si="18"/>
        <v>#DIV/0!</v>
      </c>
      <c r="M7" s="184">
        <v>0</v>
      </c>
      <c r="N7" s="167">
        <v>1</v>
      </c>
      <c r="O7" s="167">
        <f t="shared" ref="O7:O18" si="21">P7/N7</f>
        <v>8</v>
      </c>
      <c r="P7" s="167">
        <v>8</v>
      </c>
      <c r="Q7" s="184">
        <f t="shared" ref="Q7:Q18" si="22">R7/P7</f>
        <v>15</v>
      </c>
      <c r="R7" s="184">
        <v>120</v>
      </c>
      <c r="S7" s="167">
        <v>0</v>
      </c>
      <c r="T7" s="167" t="e">
        <f t="shared" si="4"/>
        <v>#DIV/0!</v>
      </c>
      <c r="U7" s="167">
        <v>0</v>
      </c>
      <c r="V7" s="184" t="e">
        <f t="shared" si="0"/>
        <v>#DIV/0!</v>
      </c>
      <c r="W7" s="184">
        <v>0</v>
      </c>
      <c r="X7" s="167">
        <v>0</v>
      </c>
      <c r="Y7" s="167" t="e">
        <f t="shared" si="5"/>
        <v>#DIV/0!</v>
      </c>
      <c r="Z7" s="167">
        <v>0</v>
      </c>
      <c r="AA7" s="184" t="e">
        <f t="shared" si="6"/>
        <v>#DIV/0!</v>
      </c>
      <c r="AB7" s="184">
        <v>0</v>
      </c>
      <c r="AC7" s="167">
        <v>0</v>
      </c>
      <c r="AD7" s="167" t="e">
        <f t="shared" si="7"/>
        <v>#DIV/0!</v>
      </c>
      <c r="AE7" s="167">
        <v>0</v>
      </c>
      <c r="AF7" s="184" t="e">
        <f t="shared" si="8"/>
        <v>#DIV/0!</v>
      </c>
      <c r="AG7" s="184">
        <v>0</v>
      </c>
      <c r="AH7" s="167">
        <v>0</v>
      </c>
      <c r="AI7" s="167" t="e">
        <f t="shared" si="9"/>
        <v>#DIV/0!</v>
      </c>
      <c r="AJ7" s="167">
        <v>0</v>
      </c>
      <c r="AK7" s="184" t="e">
        <f t="shared" si="1"/>
        <v>#DIV/0!</v>
      </c>
      <c r="AL7" s="184">
        <v>0</v>
      </c>
      <c r="AM7" s="167">
        <v>0</v>
      </c>
      <c r="AN7" s="167" t="e">
        <f t="shared" si="10"/>
        <v>#DIV/0!</v>
      </c>
      <c r="AO7" s="167">
        <v>0</v>
      </c>
      <c r="AP7" s="184" t="e">
        <f t="shared" si="11"/>
        <v>#DIV/0!</v>
      </c>
      <c r="AQ7" s="184">
        <v>0</v>
      </c>
      <c r="AR7" s="167">
        <v>15</v>
      </c>
      <c r="AS7" s="167">
        <f t="shared" si="12"/>
        <v>165.6</v>
      </c>
      <c r="AT7" s="167">
        <v>2484</v>
      </c>
      <c r="AU7" s="184">
        <f t="shared" si="13"/>
        <v>15.232367149758453</v>
      </c>
      <c r="AV7" s="184">
        <v>37837.199999999997</v>
      </c>
      <c r="AW7" s="167">
        <f>'Factor D Back Up'!D284</f>
        <v>15</v>
      </c>
      <c r="AX7" s="167">
        <f>'Factor D Back Up'!E284</f>
        <v>165.6</v>
      </c>
      <c r="AY7" s="167">
        <f>'Factor D Back Up'!F284</f>
        <v>2484</v>
      </c>
      <c r="AZ7" s="184">
        <f>'Factor D Back Up'!G284</f>
        <v>15.36</v>
      </c>
      <c r="BA7" s="184">
        <f>'Factor D Back Up'!H284</f>
        <v>38154.239999999998</v>
      </c>
      <c r="BB7" s="175"/>
      <c r="BC7" s="175"/>
      <c r="BD7" s="175"/>
      <c r="BE7" s="185"/>
      <c r="BF7" s="185"/>
      <c r="BG7" s="175"/>
      <c r="BH7" s="175"/>
      <c r="BI7" s="175"/>
      <c r="BJ7" s="185"/>
      <c r="BK7" s="185"/>
      <c r="BL7" s="175"/>
      <c r="BM7" s="175"/>
      <c r="BN7" s="175"/>
      <c r="BO7" s="185"/>
      <c r="BP7" s="185"/>
      <c r="BQ7" s="175"/>
      <c r="BR7" s="175"/>
      <c r="BS7" s="175"/>
      <c r="BT7" s="185"/>
      <c r="BU7" s="185"/>
      <c r="BV7" s="175"/>
      <c r="BW7" s="175"/>
      <c r="BX7" s="175"/>
      <c r="BY7" s="185"/>
      <c r="BZ7" s="185"/>
      <c r="CB7" s="187">
        <f>SUM(BZ7,BU7,BP7,BK7,BF7,BA7,AV7,AQ7,AL7,AG7,AB7,W7)</f>
        <v>75991.44</v>
      </c>
      <c r="CC7" s="187">
        <f>'linked - DO NOT USE or DELETE'!H20+'linked - DO NOT USE or DELETE'!M20+'linked - DO NOT USE or DELETE'!R20</f>
        <v>120</v>
      </c>
      <c r="CD7" s="281">
        <f t="shared" si="15"/>
        <v>76111.44</v>
      </c>
      <c r="CF7" s="576">
        <f t="shared" si="16"/>
        <v>76111.44</v>
      </c>
    </row>
    <row r="8" spans="1:84" ht="15" customHeight="1" x14ac:dyDescent="0.25">
      <c r="A8" s="79" t="s">
        <v>331</v>
      </c>
      <c r="B8" s="165" t="s">
        <v>184</v>
      </c>
      <c r="C8" s="590" t="s">
        <v>152</v>
      </c>
      <c r="D8" s="167">
        <v>2</v>
      </c>
      <c r="E8" s="167">
        <f t="shared" ref="E8:E18" si="23">F8/D8</f>
        <v>28</v>
      </c>
      <c r="F8" s="167">
        <v>56</v>
      </c>
      <c r="G8" s="184">
        <f t="shared" ref="G8:G18" si="24">H8/F8</f>
        <v>18.75</v>
      </c>
      <c r="H8" s="184">
        <v>1050</v>
      </c>
      <c r="I8" s="167">
        <v>7</v>
      </c>
      <c r="J8" s="167">
        <f t="shared" ref="J8:J18" si="25">K8/I8</f>
        <v>21.857142857142858</v>
      </c>
      <c r="K8" s="167">
        <v>153</v>
      </c>
      <c r="L8" s="184">
        <f t="shared" ref="L8:L18" si="26">M8/K8</f>
        <v>18.75</v>
      </c>
      <c r="M8" s="184">
        <v>2868.75</v>
      </c>
      <c r="N8" s="167">
        <v>8</v>
      </c>
      <c r="O8" s="167">
        <f t="shared" si="21"/>
        <v>34.25</v>
      </c>
      <c r="P8" s="167">
        <v>274</v>
      </c>
      <c r="Q8" s="184">
        <f t="shared" si="22"/>
        <v>18.75</v>
      </c>
      <c r="R8" s="184">
        <v>5137.5</v>
      </c>
      <c r="S8" s="167">
        <v>11</v>
      </c>
      <c r="T8" s="167">
        <f t="shared" si="4"/>
        <v>54.545454545454547</v>
      </c>
      <c r="U8" s="167">
        <v>600</v>
      </c>
      <c r="V8" s="184">
        <f t="shared" si="0"/>
        <v>18.75</v>
      </c>
      <c r="W8" s="184">
        <v>11250</v>
      </c>
      <c r="X8" s="167">
        <v>31</v>
      </c>
      <c r="Y8" s="167">
        <f t="shared" si="5"/>
        <v>31.516129032258064</v>
      </c>
      <c r="Z8" s="167">
        <v>977</v>
      </c>
      <c r="AA8" s="184">
        <f t="shared" si="6"/>
        <v>18.747952917093141</v>
      </c>
      <c r="AB8" s="184">
        <v>18316.75</v>
      </c>
      <c r="AC8" s="167">
        <v>46</v>
      </c>
      <c r="AD8" s="167">
        <f t="shared" si="7"/>
        <v>20.195652173913043</v>
      </c>
      <c r="AE8" s="167">
        <v>929</v>
      </c>
      <c r="AF8" s="184">
        <f t="shared" si="8"/>
        <v>18.723089343379979</v>
      </c>
      <c r="AG8" s="184">
        <v>17393.75</v>
      </c>
      <c r="AH8" s="167">
        <v>6</v>
      </c>
      <c r="AI8" s="167">
        <f t="shared" si="9"/>
        <v>52</v>
      </c>
      <c r="AJ8" s="167">
        <v>312</v>
      </c>
      <c r="AK8" s="184">
        <f t="shared" si="1"/>
        <v>18.75</v>
      </c>
      <c r="AL8" s="184">
        <v>5850</v>
      </c>
      <c r="AM8" s="167">
        <v>3</v>
      </c>
      <c r="AN8" s="167">
        <f t="shared" si="10"/>
        <v>22.666666666666668</v>
      </c>
      <c r="AO8" s="167">
        <v>68</v>
      </c>
      <c r="AP8" s="184">
        <f t="shared" si="11"/>
        <v>18.75</v>
      </c>
      <c r="AQ8" s="184">
        <v>1275</v>
      </c>
      <c r="AR8" s="167">
        <v>7</v>
      </c>
      <c r="AS8" s="167">
        <f t="shared" si="12"/>
        <v>19.428571428571427</v>
      </c>
      <c r="AT8" s="167">
        <v>136</v>
      </c>
      <c r="AU8" s="184">
        <f t="shared" si="13"/>
        <v>19.05</v>
      </c>
      <c r="AV8" s="184">
        <v>2590.8000000000002</v>
      </c>
      <c r="AW8" s="167">
        <f>'Factor D Back Up'!D302</f>
        <v>17</v>
      </c>
      <c r="AX8" s="167">
        <f>'Factor D Back Up'!E302</f>
        <v>31.790391421419368</v>
      </c>
      <c r="AY8" s="167">
        <f>'Factor D Back Up'!F302</f>
        <v>540.43665416412921</v>
      </c>
      <c r="AZ8" s="184">
        <f>'Factor D Back Up'!G302</f>
        <v>19.18</v>
      </c>
      <c r="BA8" s="184">
        <f>'Factor D Back Up'!H302</f>
        <v>10365.575026867999</v>
      </c>
      <c r="BB8" s="167">
        <f>'Factor D Back Up'!D303</f>
        <v>18</v>
      </c>
      <c r="BC8" s="167">
        <f>'Factor D Back Up'!E303</f>
        <v>31.844415418719297</v>
      </c>
      <c r="BD8" s="167">
        <f>'Factor D Back Up'!F303</f>
        <v>573.19947753694737</v>
      </c>
      <c r="BE8" s="184">
        <f>'Factor D Back Up'!G303</f>
        <v>19.67868</v>
      </c>
      <c r="BF8" s="184">
        <f>'Factor D Back Up'!H303</f>
        <v>11279.809094616776</v>
      </c>
      <c r="BG8" s="167">
        <f>'Factor D Back Up'!D304</f>
        <v>19</v>
      </c>
      <c r="BH8" s="167">
        <f>'Factor D Back Up'!E304</f>
        <v>31.883003988219244</v>
      </c>
      <c r="BI8" s="167">
        <f>'Factor D Back Up'!F304</f>
        <v>605.77707577616559</v>
      </c>
      <c r="BJ8" s="184">
        <f>'Factor D Back Up'!G304</f>
        <v>20.190325680000001</v>
      </c>
      <c r="BK8" s="184">
        <f>'Factor D Back Up'!H304</f>
        <v>12230.836449398823</v>
      </c>
      <c r="BL8" s="167">
        <f>'Factor D Back Up'!D305</f>
        <v>20</v>
      </c>
      <c r="BM8" s="167">
        <f>'Factor D Back Up'!E305</f>
        <v>31.906157129919212</v>
      </c>
      <c r="BN8" s="167">
        <f>'Factor D Back Up'!F305</f>
        <v>638.12314259838422</v>
      </c>
      <c r="BO8" s="184">
        <f>'Factor D Back Up'!G305</f>
        <v>20.715274147680002</v>
      </c>
      <c r="BP8" s="184">
        <f>'Factor D Back Up'!H305</f>
        <v>13218.895838904627</v>
      </c>
      <c r="BQ8" s="167">
        <f>'Factor D Back Up'!D306</f>
        <v>20</v>
      </c>
      <c r="BR8" s="167">
        <f>'Factor D Back Up'!E306</f>
        <v>31.92931027161918</v>
      </c>
      <c r="BS8" s="167">
        <f>'Factor D Back Up'!F306</f>
        <v>638.58620543238362</v>
      </c>
      <c r="BT8" s="184">
        <f>'Factor D Back Up'!G306</f>
        <v>21.253871275519682</v>
      </c>
      <c r="BU8" s="184">
        <f>'Factor D Back Up'!H306</f>
        <v>13572.429008582449</v>
      </c>
      <c r="BV8" s="167">
        <f>'Factor D Back Up'!D307</f>
        <v>21</v>
      </c>
      <c r="BW8" s="167">
        <f>'Factor D Back Up'!E307</f>
        <v>31.952463413319148</v>
      </c>
      <c r="BX8" s="167">
        <f>'Factor D Back Up'!F307</f>
        <v>671.00173167970206</v>
      </c>
      <c r="BY8" s="184">
        <f>'Factor D Back Up'!G307</f>
        <v>21.806471928683195</v>
      </c>
      <c r="BZ8" s="184">
        <f>'Factor D Back Up'!H307</f>
        <v>14632.180425971235</v>
      </c>
      <c r="CB8" s="187">
        <f t="shared" si="14"/>
        <v>131976.0258443419</v>
      </c>
      <c r="CC8" s="187">
        <f>'linked - DO NOT USE or DELETE'!H21+'linked - DO NOT USE or DELETE'!M21+'linked - DO NOT USE or DELETE'!R21</f>
        <v>9056.25</v>
      </c>
      <c r="CD8" s="281">
        <f t="shared" si="15"/>
        <v>141032.2758443419</v>
      </c>
      <c r="CF8" s="576">
        <f t="shared" si="16"/>
        <v>141032.2758443419</v>
      </c>
    </row>
    <row r="9" spans="1:84" ht="15" customHeight="1" x14ac:dyDescent="0.25">
      <c r="A9" s="80" t="s">
        <v>149</v>
      </c>
      <c r="B9" s="165" t="s">
        <v>184</v>
      </c>
      <c r="C9" s="590" t="s">
        <v>152</v>
      </c>
      <c r="D9" s="167">
        <v>24</v>
      </c>
      <c r="E9" s="167">
        <f t="shared" si="23"/>
        <v>1929.7916666666667</v>
      </c>
      <c r="F9" s="167">
        <v>46315</v>
      </c>
      <c r="G9" s="184">
        <f t="shared" si="24"/>
        <v>4.0798926913526934</v>
      </c>
      <c r="H9" s="184">
        <v>188960.23</v>
      </c>
      <c r="I9" s="167">
        <v>6</v>
      </c>
      <c r="J9" s="167">
        <f t="shared" si="25"/>
        <v>3254</v>
      </c>
      <c r="K9" s="167">
        <v>19524</v>
      </c>
      <c r="L9" s="184">
        <f t="shared" si="26"/>
        <v>4.08</v>
      </c>
      <c r="M9" s="184">
        <v>79657.919999999998</v>
      </c>
      <c r="N9" s="167">
        <v>2</v>
      </c>
      <c r="O9" s="167">
        <f t="shared" si="21"/>
        <v>5232</v>
      </c>
      <c r="P9" s="167">
        <v>10464</v>
      </c>
      <c r="Q9" s="184">
        <f t="shared" si="22"/>
        <v>4.08</v>
      </c>
      <c r="R9" s="184">
        <v>42693.120000000003</v>
      </c>
      <c r="S9" s="167">
        <v>5</v>
      </c>
      <c r="T9" s="167">
        <f t="shared" si="4"/>
        <v>1630.4</v>
      </c>
      <c r="U9" s="167">
        <v>8152</v>
      </c>
      <c r="V9" s="184">
        <f t="shared" si="0"/>
        <v>4.08</v>
      </c>
      <c r="W9" s="184">
        <v>33260.160000000003</v>
      </c>
      <c r="X9" s="167">
        <v>0</v>
      </c>
      <c r="Y9" s="167" t="e">
        <f t="shared" si="5"/>
        <v>#DIV/0!</v>
      </c>
      <c r="Z9" s="167">
        <v>0</v>
      </c>
      <c r="AA9" s="184" t="e">
        <f t="shared" si="6"/>
        <v>#DIV/0!</v>
      </c>
      <c r="AB9" s="184">
        <v>0</v>
      </c>
      <c r="AC9" s="167">
        <v>0</v>
      </c>
      <c r="AD9" s="167" t="e">
        <f t="shared" si="7"/>
        <v>#DIV/0!</v>
      </c>
      <c r="AE9" s="167">
        <v>0</v>
      </c>
      <c r="AF9" s="184" t="e">
        <f t="shared" si="8"/>
        <v>#DIV/0!</v>
      </c>
      <c r="AG9" s="184">
        <v>0</v>
      </c>
      <c r="AH9" s="167">
        <v>0</v>
      </c>
      <c r="AI9" s="167" t="e">
        <f t="shared" si="9"/>
        <v>#DIV/0!</v>
      </c>
      <c r="AJ9" s="167">
        <v>0</v>
      </c>
      <c r="AK9" s="184" t="e">
        <f t="shared" si="1"/>
        <v>#DIV/0!</v>
      </c>
      <c r="AL9" s="184">
        <v>0</v>
      </c>
      <c r="AM9" s="167">
        <v>0</v>
      </c>
      <c r="AN9" s="167" t="e">
        <f t="shared" si="10"/>
        <v>#DIV/0!</v>
      </c>
      <c r="AO9" s="167">
        <v>0</v>
      </c>
      <c r="AP9" s="184" t="e">
        <f t="shared" si="11"/>
        <v>#DIV/0!</v>
      </c>
      <c r="AQ9" s="184">
        <v>0</v>
      </c>
      <c r="AR9" s="167">
        <v>0</v>
      </c>
      <c r="AS9" s="167" t="e">
        <f t="shared" si="12"/>
        <v>#DIV/0!</v>
      </c>
      <c r="AT9" s="167">
        <v>0</v>
      </c>
      <c r="AU9" s="184" t="e">
        <f t="shared" si="13"/>
        <v>#DIV/0!</v>
      </c>
      <c r="AV9" s="184">
        <v>0</v>
      </c>
      <c r="AW9" s="167">
        <f>'Factor D Back Up'!D32</f>
        <v>0</v>
      </c>
      <c r="AX9" s="167">
        <f>'Factor D Back Up'!E32</f>
        <v>0</v>
      </c>
      <c r="AY9" s="167">
        <f>'Factor D Back Up'!F32</f>
        <v>0</v>
      </c>
      <c r="AZ9" s="184">
        <f>'Factor D Back Up'!G32</f>
        <v>5.05</v>
      </c>
      <c r="BA9" s="184">
        <f>'Factor D Back Up'!H32</f>
        <v>0</v>
      </c>
      <c r="BB9" s="167">
        <f>'Factor D Back Up'!D33</f>
        <v>4</v>
      </c>
      <c r="BC9" s="167">
        <f>'Factor D Back Up'!E33</f>
        <v>3929.3991666666666</v>
      </c>
      <c r="BD9" s="167">
        <f>'Factor D Back Up'!F33</f>
        <v>15717.596666666666</v>
      </c>
      <c r="BE9" s="184">
        <f>'Factor D Back Up'!G33</f>
        <v>5.1813000000000002</v>
      </c>
      <c r="BF9" s="184">
        <f>'Factor D Back Up'!H33</f>
        <v>81437.583609000008</v>
      </c>
      <c r="BG9" s="167">
        <f>'Factor D Back Up'!D34</f>
        <v>4</v>
      </c>
      <c r="BH9" s="167">
        <f>'Factor D Back Up'!E34</f>
        <v>4037.3816666666662</v>
      </c>
      <c r="BI9" s="167">
        <f>'Factor D Back Up'!F34</f>
        <v>16149.526666666665</v>
      </c>
      <c r="BJ9" s="184">
        <f>'Factor D Back Up'!G34</f>
        <v>5.3160138000000003</v>
      </c>
      <c r="BK9" s="184">
        <f>'Factor D Back Up'!H34</f>
        <v>85851.106623467989</v>
      </c>
      <c r="BL9" s="167">
        <f>'Factor D Back Up'!D35</f>
        <v>4</v>
      </c>
      <c r="BM9" s="167">
        <f>'Factor D Back Up'!E35</f>
        <v>4145.3641666666663</v>
      </c>
      <c r="BN9" s="167">
        <f>'Factor D Back Up'!F35</f>
        <v>16581.456666666665</v>
      </c>
      <c r="BO9" s="184">
        <f>'Factor D Back Up'!G35</f>
        <v>5.4542301588000006</v>
      </c>
      <c r="BP9" s="184">
        <f>'Factor D Back Up'!H35</f>
        <v>90439.081028168657</v>
      </c>
      <c r="BQ9" s="167">
        <f>'Factor D Back Up'!D36</f>
        <v>4</v>
      </c>
      <c r="BR9" s="167">
        <f>'Factor D Back Up'!E36</f>
        <v>4253.3466666666664</v>
      </c>
      <c r="BS9" s="167">
        <f>'Factor D Back Up'!F36</f>
        <v>17013.386666666665</v>
      </c>
      <c r="BT9" s="184">
        <f>'Factor D Back Up'!G36</f>
        <v>5.5960401429288007</v>
      </c>
      <c r="BU9" s="184">
        <f>'Factor D Back Up'!H36</f>
        <v>95207.594753836282</v>
      </c>
      <c r="BV9" s="167">
        <f>'Factor D Back Up'!D37</f>
        <v>4</v>
      </c>
      <c r="BW9" s="167">
        <f>'Factor D Back Up'!E37</f>
        <v>4361.3291666666664</v>
      </c>
      <c r="BX9" s="167">
        <f>'Factor D Back Up'!F37</f>
        <v>17445.316666666666</v>
      </c>
      <c r="BY9" s="184">
        <f>'Factor D Back Up'!G37</f>
        <v>5.7415371866449494</v>
      </c>
      <c r="BZ9" s="184">
        <f>'Factor D Back Up'!H37</f>
        <v>100162.93437446357</v>
      </c>
      <c r="CB9" s="187">
        <f t="shared" si="14"/>
        <v>486358.46038893657</v>
      </c>
      <c r="CC9" s="187">
        <f>+'linked - DO NOT USE or DELETE'!H5+'linked - DO NOT USE or DELETE'!M5+'linked - DO NOT USE or DELETE'!R5</f>
        <v>311311.27</v>
      </c>
      <c r="CD9" s="281">
        <f t="shared" si="15"/>
        <v>797669.73038893659</v>
      </c>
      <c r="CF9" s="576">
        <f t="shared" si="16"/>
        <v>797669.73038893659</v>
      </c>
    </row>
    <row r="10" spans="1:84" ht="15" customHeight="1" x14ac:dyDescent="0.25">
      <c r="A10" s="80" t="s">
        <v>502</v>
      </c>
      <c r="B10" s="165" t="s">
        <v>184</v>
      </c>
      <c r="C10" s="590" t="s">
        <v>152</v>
      </c>
      <c r="D10" s="167">
        <v>309</v>
      </c>
      <c r="E10" s="167">
        <f t="shared" si="23"/>
        <v>85.750809061488667</v>
      </c>
      <c r="F10" s="167">
        <v>26497</v>
      </c>
      <c r="G10" s="184">
        <f t="shared" si="24"/>
        <v>16.192351964373326</v>
      </c>
      <c r="H10" s="184">
        <v>429048.75</v>
      </c>
      <c r="I10" s="167">
        <v>321</v>
      </c>
      <c r="J10" s="167">
        <f t="shared" si="25"/>
        <v>126.80685358255452</v>
      </c>
      <c r="K10" s="167">
        <v>40705</v>
      </c>
      <c r="L10" s="184">
        <f t="shared" si="26"/>
        <v>16.13997346763297</v>
      </c>
      <c r="M10" s="184">
        <v>656977.62</v>
      </c>
      <c r="N10" s="167">
        <v>407</v>
      </c>
      <c r="O10" s="167">
        <f t="shared" si="21"/>
        <v>132.47174447174447</v>
      </c>
      <c r="P10" s="167">
        <v>53916</v>
      </c>
      <c r="Q10" s="184">
        <f t="shared" si="22"/>
        <v>16.203983047703836</v>
      </c>
      <c r="R10" s="184">
        <v>873653.95</v>
      </c>
      <c r="S10" s="167">
        <v>384</v>
      </c>
      <c r="T10" s="167">
        <f t="shared" si="4"/>
        <v>118.75</v>
      </c>
      <c r="U10" s="167">
        <v>45600</v>
      </c>
      <c r="V10" s="184">
        <f t="shared" si="0"/>
        <v>16.194690131578948</v>
      </c>
      <c r="W10" s="184">
        <v>738477.87</v>
      </c>
      <c r="X10" s="167">
        <v>371</v>
      </c>
      <c r="Y10" s="167">
        <f t="shared" si="5"/>
        <v>95.668463611859835</v>
      </c>
      <c r="Z10" s="167">
        <v>35493</v>
      </c>
      <c r="AA10" s="184">
        <f t="shared" si="6"/>
        <v>16.134165891866001</v>
      </c>
      <c r="AB10" s="184">
        <v>572649.94999999995</v>
      </c>
      <c r="AC10" s="167">
        <v>549</v>
      </c>
      <c r="AD10" s="167">
        <f t="shared" si="7"/>
        <v>74.539162112932601</v>
      </c>
      <c r="AE10" s="167">
        <v>40922</v>
      </c>
      <c r="AF10" s="184">
        <f t="shared" si="8"/>
        <v>16.234238307023116</v>
      </c>
      <c r="AG10" s="184">
        <v>664337.5</v>
      </c>
      <c r="AH10" s="167">
        <v>367</v>
      </c>
      <c r="AI10" s="167">
        <f t="shared" si="9"/>
        <v>79.155313351498634</v>
      </c>
      <c r="AJ10" s="167">
        <v>29050</v>
      </c>
      <c r="AK10" s="184">
        <f t="shared" si="1"/>
        <v>16.2302495697074</v>
      </c>
      <c r="AL10" s="184">
        <v>471488.75</v>
      </c>
      <c r="AM10" s="167">
        <v>217</v>
      </c>
      <c r="AN10" s="167">
        <f t="shared" si="10"/>
        <v>73.723502304147459</v>
      </c>
      <c r="AO10" s="167">
        <v>15998</v>
      </c>
      <c r="AP10" s="184">
        <f t="shared" si="11"/>
        <v>16.252375296912113</v>
      </c>
      <c r="AQ10" s="184">
        <v>260005.5</v>
      </c>
      <c r="AR10" s="167">
        <v>125</v>
      </c>
      <c r="AS10" s="167">
        <f t="shared" si="12"/>
        <v>93.688000000000002</v>
      </c>
      <c r="AT10" s="167">
        <v>11711</v>
      </c>
      <c r="AU10" s="184">
        <f t="shared" si="13"/>
        <v>20.878682435317224</v>
      </c>
      <c r="AV10" s="184">
        <v>244510.25</v>
      </c>
      <c r="AW10" s="167">
        <f>'Factor D Back Up'!D50</f>
        <v>306</v>
      </c>
      <c r="AX10" s="167">
        <f>'Factor D Back Up'!E50</f>
        <v>74.643900648852778</v>
      </c>
      <c r="AY10" s="167">
        <f>'Factor D Back Up'!F50</f>
        <v>22841.033598548951</v>
      </c>
      <c r="AZ10" s="184">
        <f>'Factor D Back Up'!G50</f>
        <v>25.26</v>
      </c>
      <c r="BA10" s="184">
        <f>'Factor D Back Up'!H50</f>
        <v>576964.50869934657</v>
      </c>
      <c r="BB10" s="167">
        <f>'Factor D Back Up'!D51</f>
        <v>291</v>
      </c>
      <c r="BC10" s="167">
        <f>'Factor D Back Up'!E51</f>
        <v>70.004817478707196</v>
      </c>
      <c r="BD10" s="167">
        <f>'Factor D Back Up'!F51</f>
        <v>20371.401886303793</v>
      </c>
      <c r="BE10" s="184">
        <f>'Factor D Back Up'!G51</f>
        <v>25.91676</v>
      </c>
      <c r="BF10" s="184">
        <f>'Factor D Back Up'!H51</f>
        <v>527960.73355088267</v>
      </c>
      <c r="BG10" s="167">
        <f>'Factor D Back Up'!D52</f>
        <v>278</v>
      </c>
      <c r="BH10" s="167">
        <f>'Factor D Back Up'!E52</f>
        <v>65.365734308561628</v>
      </c>
      <c r="BI10" s="167">
        <f>'Factor D Back Up'!F52</f>
        <v>18171.674137780134</v>
      </c>
      <c r="BJ10" s="184">
        <f>'Factor D Back Up'!G52</f>
        <v>26.590595759999999</v>
      </c>
      <c r="BK10" s="184">
        <f>'Factor D Back Up'!H52</f>
        <v>483195.64128015807</v>
      </c>
      <c r="BL10" s="167">
        <f>'Factor D Back Up'!D53</f>
        <v>259</v>
      </c>
      <c r="BM10" s="167">
        <f>'Factor D Back Up'!E53</f>
        <v>60.726651138416038</v>
      </c>
      <c r="BN10" s="167">
        <f>'Factor D Back Up'!F53</f>
        <v>15728.202644849755</v>
      </c>
      <c r="BO10" s="184">
        <f>'Factor D Back Up'!G53</f>
        <v>27.281951249759999</v>
      </c>
      <c r="BP10" s="184">
        <f>'Factor D Back Up'!H53</f>
        <v>429096.05780313729</v>
      </c>
      <c r="BQ10" s="167">
        <f>'Factor D Back Up'!D54</f>
        <v>254</v>
      </c>
      <c r="BR10" s="167">
        <f>'Factor D Back Up'!E54</f>
        <v>56.087567968270463</v>
      </c>
      <c r="BS10" s="167">
        <f>'Factor D Back Up'!F54</f>
        <v>14246.242263940698</v>
      </c>
      <c r="BT10" s="184">
        <f>'Factor D Back Up'!G54</f>
        <v>27.99128198225376</v>
      </c>
      <c r="BU10" s="184">
        <f>'Factor D Back Up'!H54</f>
        <v>398770.58439746528</v>
      </c>
      <c r="BV10" s="167">
        <f>'Factor D Back Up'!D55</f>
        <v>250</v>
      </c>
      <c r="BW10" s="167">
        <f>'Factor D Back Up'!E55</f>
        <v>51.448484798124881</v>
      </c>
      <c r="BX10" s="167">
        <f>'Factor D Back Up'!F55</f>
        <v>12862.121199531221</v>
      </c>
      <c r="BY10" s="184">
        <f>'Factor D Back Up'!G55</f>
        <v>28.719055313792357</v>
      </c>
      <c r="BZ10" s="184">
        <f>'Factor D Back Up'!H55</f>
        <v>369387.97018203844</v>
      </c>
      <c r="CB10" s="187">
        <f t="shared" si="14"/>
        <v>5736845.3159130281</v>
      </c>
      <c r="CC10" s="187">
        <f>+'linked - DO NOT USE or DELETE'!H6+'linked - DO NOT USE or DELETE'!M6+'linked - DO NOT USE or DELETE'!R6</f>
        <v>1959680.32</v>
      </c>
      <c r="CD10" s="281">
        <f t="shared" si="15"/>
        <v>7696525.6359130284</v>
      </c>
      <c r="CF10" s="576">
        <f t="shared" si="16"/>
        <v>7696525.6359130284</v>
      </c>
    </row>
    <row r="11" spans="1:84" ht="15" customHeight="1" x14ac:dyDescent="0.25">
      <c r="A11" s="147" t="s">
        <v>263</v>
      </c>
      <c r="B11" s="165" t="s">
        <v>184</v>
      </c>
      <c r="C11" s="590" t="s">
        <v>152</v>
      </c>
      <c r="D11" s="175"/>
      <c r="E11" s="175"/>
      <c r="F11" s="175"/>
      <c r="G11" s="185"/>
      <c r="H11" s="185"/>
      <c r="I11" s="175"/>
      <c r="J11" s="175"/>
      <c r="K11" s="175"/>
      <c r="L11" s="185"/>
      <c r="M11" s="185"/>
      <c r="N11" s="175"/>
      <c r="O11" s="175"/>
      <c r="P11" s="175"/>
      <c r="Q11" s="185"/>
      <c r="R11" s="185"/>
      <c r="S11" s="175"/>
      <c r="T11" s="175"/>
      <c r="U11" s="175"/>
      <c r="V11" s="185"/>
      <c r="W11" s="185"/>
      <c r="X11" s="175"/>
      <c r="Y11" s="175"/>
      <c r="Z11" s="175"/>
      <c r="AA11" s="185"/>
      <c r="AB11" s="185"/>
      <c r="AC11" s="175"/>
      <c r="AD11" s="175"/>
      <c r="AE11" s="175"/>
      <c r="AF11" s="185"/>
      <c r="AG11" s="185"/>
      <c r="AH11" s="175"/>
      <c r="AI11" s="175"/>
      <c r="AJ11" s="175"/>
      <c r="AK11" s="185"/>
      <c r="AL11" s="185"/>
      <c r="AM11" s="175"/>
      <c r="AN11" s="175"/>
      <c r="AO11" s="175"/>
      <c r="AP11" s="185"/>
      <c r="AQ11" s="185"/>
      <c r="AR11" s="175"/>
      <c r="AS11" s="175"/>
      <c r="AT11" s="175"/>
      <c r="AU11" s="185"/>
      <c r="AV11" s="185"/>
      <c r="AW11" s="175"/>
      <c r="AX11" s="175"/>
      <c r="AY11" s="175"/>
      <c r="AZ11" s="185"/>
      <c r="BA11" s="185"/>
      <c r="BB11" s="167">
        <f>'Factor D Back Up'!D69</f>
        <v>6</v>
      </c>
      <c r="BC11" s="167">
        <f>'Factor D Back Up'!E69</f>
        <v>70.004817478707196</v>
      </c>
      <c r="BD11" s="167">
        <f>'Factor D Back Up'!F69</f>
        <v>420.02890487224317</v>
      </c>
      <c r="BE11" s="184">
        <f>'Factor D Back Up'!G69</f>
        <v>12.53</v>
      </c>
      <c r="BF11" s="184">
        <f>'Factor D Back Up'!H69</f>
        <v>5262.9621780492071</v>
      </c>
      <c r="BG11" s="167">
        <f>'Factor D Back Up'!D70</f>
        <v>12</v>
      </c>
      <c r="BH11" s="167">
        <f>'Factor D Back Up'!E70</f>
        <v>65.365734308561628</v>
      </c>
      <c r="BI11" s="167">
        <f>'Factor D Back Up'!F70</f>
        <v>784.38881170273953</v>
      </c>
      <c r="BJ11" s="184">
        <f>'Factor D Back Up'!G70</f>
        <v>12.855779999999999</v>
      </c>
      <c r="BK11" s="184">
        <f>'Factor D Back Up'!H70</f>
        <v>10083.929997711844</v>
      </c>
      <c r="BL11" s="167">
        <f>'Factor D Back Up'!D71</f>
        <v>27</v>
      </c>
      <c r="BM11" s="167">
        <f>'Factor D Back Up'!E71</f>
        <v>60.726651138416038</v>
      </c>
      <c r="BN11" s="167">
        <f>'Factor D Back Up'!F71</f>
        <v>1639.619580737233</v>
      </c>
      <c r="BO11" s="184">
        <f>'Factor D Back Up'!G71</f>
        <v>13.190030279999998</v>
      </c>
      <c r="BP11" s="184">
        <f>'Factor D Back Up'!H71</f>
        <v>21626.631917605006</v>
      </c>
      <c r="BQ11" s="167">
        <f>'Factor D Back Up'!D72</f>
        <v>27</v>
      </c>
      <c r="BR11" s="167">
        <f>'Factor D Back Up'!E72</f>
        <v>56.087567968270463</v>
      </c>
      <c r="BS11" s="167">
        <f>'Factor D Back Up'!F72</f>
        <v>1514.3643351433025</v>
      </c>
      <c r="BT11" s="184">
        <f>'Factor D Back Up'!G72</f>
        <v>13.532971067279998</v>
      </c>
      <c r="BU11" s="184">
        <f>'Factor D Back Up'!H72</f>
        <v>20493.848732815022</v>
      </c>
      <c r="BV11" s="167">
        <f>'Factor D Back Up'!D73</f>
        <v>27</v>
      </c>
      <c r="BW11" s="167">
        <f>'Factor D Back Up'!E73</f>
        <v>51.448484798124881</v>
      </c>
      <c r="BX11" s="167">
        <f>'Factor D Back Up'!F73</f>
        <v>1389.1090895493717</v>
      </c>
      <c r="BY11" s="184">
        <f>'Factor D Back Up'!G73</f>
        <v>13.884828315029278</v>
      </c>
      <c r="BZ11" s="184">
        <f>'Factor D Back Up'!H73</f>
        <v>19287.541219239658</v>
      </c>
      <c r="CB11" s="187">
        <f t="shared" si="14"/>
        <v>76754.914045420737</v>
      </c>
      <c r="CC11" s="187"/>
      <c r="CD11" s="281">
        <f t="shared" si="15"/>
        <v>76754.914045420737</v>
      </c>
      <c r="CF11" s="576">
        <f t="shared" si="16"/>
        <v>76754.914045420737</v>
      </c>
    </row>
    <row r="12" spans="1:84" ht="15" customHeight="1" x14ac:dyDescent="0.25">
      <c r="A12" s="80" t="s">
        <v>194</v>
      </c>
      <c r="B12" s="165" t="s">
        <v>184</v>
      </c>
      <c r="C12" s="590" t="s">
        <v>152</v>
      </c>
      <c r="D12" s="167">
        <v>53</v>
      </c>
      <c r="E12" s="167">
        <f t="shared" si="23"/>
        <v>21.018867924528301</v>
      </c>
      <c r="F12" s="167">
        <v>1114</v>
      </c>
      <c r="G12" s="184">
        <f t="shared" si="24"/>
        <v>15.230026929982047</v>
      </c>
      <c r="H12" s="184">
        <v>16966.25</v>
      </c>
      <c r="I12" s="167">
        <v>75</v>
      </c>
      <c r="J12" s="167">
        <f t="shared" si="25"/>
        <v>27.533333333333335</v>
      </c>
      <c r="K12" s="167">
        <v>2065</v>
      </c>
      <c r="L12" s="184">
        <f t="shared" si="26"/>
        <v>14.217917675544793</v>
      </c>
      <c r="M12" s="184">
        <v>29360</v>
      </c>
      <c r="N12" s="167">
        <v>93</v>
      </c>
      <c r="O12" s="167">
        <f t="shared" si="21"/>
        <v>29.634408602150536</v>
      </c>
      <c r="P12" s="167">
        <v>2756</v>
      </c>
      <c r="Q12" s="184">
        <f t="shared" si="22"/>
        <v>15.212264150943396</v>
      </c>
      <c r="R12" s="184">
        <v>41925</v>
      </c>
      <c r="S12" s="167">
        <v>55</v>
      </c>
      <c r="T12" s="167">
        <f t="shared" si="4"/>
        <v>17.472727272727273</v>
      </c>
      <c r="U12" s="167">
        <v>961</v>
      </c>
      <c r="V12" s="184">
        <f t="shared" si="0"/>
        <v>16.25</v>
      </c>
      <c r="W12" s="184">
        <v>15616.25</v>
      </c>
      <c r="X12" s="167">
        <v>50</v>
      </c>
      <c r="Y12" s="167">
        <f t="shared" si="5"/>
        <v>16.739999999999998</v>
      </c>
      <c r="Z12" s="167">
        <v>837</v>
      </c>
      <c r="AA12" s="184">
        <f t="shared" si="6"/>
        <v>16.248805256869773</v>
      </c>
      <c r="AB12" s="184">
        <v>13600.25</v>
      </c>
      <c r="AC12" s="167">
        <v>54</v>
      </c>
      <c r="AD12" s="167">
        <f t="shared" si="7"/>
        <v>15.25925925925926</v>
      </c>
      <c r="AE12" s="167">
        <v>824</v>
      </c>
      <c r="AF12" s="184">
        <f t="shared" si="8"/>
        <v>16.25</v>
      </c>
      <c r="AG12" s="184">
        <v>13390</v>
      </c>
      <c r="AH12" s="167">
        <v>51</v>
      </c>
      <c r="AI12" s="167">
        <f t="shared" si="9"/>
        <v>13.372549019607844</v>
      </c>
      <c r="AJ12" s="167">
        <v>682</v>
      </c>
      <c r="AK12" s="184">
        <f t="shared" si="1"/>
        <v>16.25</v>
      </c>
      <c r="AL12" s="184">
        <v>11082.5</v>
      </c>
      <c r="AM12" s="167">
        <v>46</v>
      </c>
      <c r="AN12" s="167">
        <f t="shared" si="10"/>
        <v>18.434782608695652</v>
      </c>
      <c r="AO12" s="167">
        <v>848</v>
      </c>
      <c r="AP12" s="184">
        <f t="shared" si="11"/>
        <v>16.244103773584907</v>
      </c>
      <c r="AQ12" s="184">
        <v>13775</v>
      </c>
      <c r="AR12" s="167">
        <v>17</v>
      </c>
      <c r="AS12" s="167">
        <f t="shared" si="12"/>
        <v>19.294117647058822</v>
      </c>
      <c r="AT12" s="167">
        <v>328</v>
      </c>
      <c r="AU12" s="184">
        <f t="shared" si="13"/>
        <v>22.332317073170731</v>
      </c>
      <c r="AV12" s="184">
        <v>7325</v>
      </c>
      <c r="AW12" s="167">
        <f>'Factor D Back Up'!D86</f>
        <v>52</v>
      </c>
      <c r="AX12" s="167">
        <f>'Factor D Back Up'!E86</f>
        <v>14.117907257844751</v>
      </c>
      <c r="AY12" s="167">
        <f>'Factor D Back Up'!F86</f>
        <v>734.131177407927</v>
      </c>
      <c r="AZ12" s="184">
        <f>'Factor D Back Up'!G86</f>
        <v>25.26</v>
      </c>
      <c r="BA12" s="184">
        <f>'Factor D Back Up'!H86</f>
        <v>18544.153541324238</v>
      </c>
      <c r="BB12" s="167">
        <f>'Factor D Back Up'!D87</f>
        <v>50</v>
      </c>
      <c r="BC12" s="167">
        <f>'Factor D Back Up'!E87</f>
        <v>12.969043250139013</v>
      </c>
      <c r="BD12" s="167">
        <f>'Factor D Back Up'!F87</f>
        <v>648.45216250695069</v>
      </c>
      <c r="BE12" s="184">
        <f>'Factor D Back Up'!G87</f>
        <v>25.91676</v>
      </c>
      <c r="BF12" s="184">
        <f>'Factor D Back Up'!H87</f>
        <v>16805.77906717364</v>
      </c>
      <c r="BG12" s="167">
        <f>'Factor D Back Up'!D88</f>
        <v>49</v>
      </c>
      <c r="BH12" s="167">
        <f>'Factor D Back Up'!E88</f>
        <v>11.820179242433273</v>
      </c>
      <c r="BI12" s="167">
        <f>'Factor D Back Up'!F88</f>
        <v>579.18878287923042</v>
      </c>
      <c r="BJ12" s="184">
        <f>'Factor D Back Up'!G88</f>
        <v>26.590595759999999</v>
      </c>
      <c r="BK12" s="184">
        <f>'Factor D Back Up'!H88</f>
        <v>15400.974794268024</v>
      </c>
      <c r="BL12" s="167">
        <f>'Factor D Back Up'!D89</f>
        <v>48</v>
      </c>
      <c r="BM12" s="167">
        <f>'Factor D Back Up'!E89</f>
        <v>10.671315234727533</v>
      </c>
      <c r="BN12" s="167">
        <f>'Factor D Back Up'!F89</f>
        <v>512.22313126692165</v>
      </c>
      <c r="BO12" s="184">
        <f>'Factor D Back Up'!G89</f>
        <v>27.281951249759999</v>
      </c>
      <c r="BP12" s="184">
        <f>'Factor D Back Up'!H89</f>
        <v>13974.446496223572</v>
      </c>
      <c r="BQ12" s="167">
        <f>'Factor D Back Up'!D90</f>
        <v>47</v>
      </c>
      <c r="BR12" s="167">
        <f>'Factor D Back Up'!E90</f>
        <v>9.5224512270217971</v>
      </c>
      <c r="BS12" s="167">
        <f>'Factor D Back Up'!F90</f>
        <v>447.55520767002446</v>
      </c>
      <c r="BT12" s="184">
        <f>'Factor D Back Up'!G90</f>
        <v>27.99128198225376</v>
      </c>
      <c r="BU12" s="184">
        <f>'Factor D Back Up'!H90</f>
        <v>12527.644020517795</v>
      </c>
      <c r="BV12" s="167">
        <f>'Factor D Back Up'!D91</f>
        <v>47</v>
      </c>
      <c r="BW12" s="167">
        <f>'Factor D Back Up'!E91</f>
        <v>8.3735872193160574</v>
      </c>
      <c r="BX12" s="167">
        <f>'Factor D Back Up'!F91</f>
        <v>393.55859930785471</v>
      </c>
      <c r="BY12" s="184">
        <f>'Factor D Back Up'!G91</f>
        <v>28.719055313792357</v>
      </c>
      <c r="BZ12" s="184">
        <f>'Factor D Back Up'!H91</f>
        <v>11302.631182740921</v>
      </c>
      <c r="CB12" s="187">
        <f t="shared" si="14"/>
        <v>163344.62910224817</v>
      </c>
      <c r="CC12" s="187">
        <f>+'linked - DO NOT USE or DELETE'!H7+'linked - DO NOT USE or DELETE'!M7+'linked - DO NOT USE or DELETE'!R7</f>
        <v>88251.25</v>
      </c>
      <c r="CD12" s="281">
        <f t="shared" si="15"/>
        <v>251595.87910224817</v>
      </c>
      <c r="CF12" s="576">
        <f t="shared" si="16"/>
        <v>251595.87910224817</v>
      </c>
    </row>
    <row r="13" spans="1:84" ht="15" customHeight="1" x14ac:dyDescent="0.25">
      <c r="A13" s="80" t="s">
        <v>195</v>
      </c>
      <c r="B13" s="165" t="s">
        <v>184</v>
      </c>
      <c r="C13" s="590" t="s">
        <v>152</v>
      </c>
      <c r="D13" s="167">
        <v>102</v>
      </c>
      <c r="E13" s="167">
        <f t="shared" si="23"/>
        <v>15.117647058823529</v>
      </c>
      <c r="F13" s="167">
        <v>1542</v>
      </c>
      <c r="G13" s="184">
        <f t="shared" si="24"/>
        <v>15.408560311284047</v>
      </c>
      <c r="H13" s="184">
        <v>23760</v>
      </c>
      <c r="I13" s="167">
        <v>93</v>
      </c>
      <c r="J13" s="167">
        <f t="shared" si="25"/>
        <v>36.021505376344088</v>
      </c>
      <c r="K13" s="167">
        <v>3350</v>
      </c>
      <c r="L13" s="184">
        <f t="shared" si="26"/>
        <v>15.480970149253732</v>
      </c>
      <c r="M13" s="184">
        <v>51861.25</v>
      </c>
      <c r="N13" s="167">
        <v>138</v>
      </c>
      <c r="O13" s="167">
        <f t="shared" si="21"/>
        <v>22.10144927536232</v>
      </c>
      <c r="P13" s="167">
        <v>3050</v>
      </c>
      <c r="Q13" s="184">
        <f t="shared" si="22"/>
        <v>15.204098360655738</v>
      </c>
      <c r="R13" s="184">
        <v>46372.5</v>
      </c>
      <c r="S13" s="167">
        <v>90</v>
      </c>
      <c r="T13" s="167">
        <f t="shared" si="4"/>
        <v>21.822222222222223</v>
      </c>
      <c r="U13" s="167">
        <v>1964</v>
      </c>
      <c r="V13" s="184">
        <f t="shared" si="0"/>
        <v>16.25</v>
      </c>
      <c r="W13" s="184">
        <v>31915</v>
      </c>
      <c r="X13" s="167">
        <v>96</v>
      </c>
      <c r="Y13" s="167">
        <f t="shared" si="5"/>
        <v>22.416666666666668</v>
      </c>
      <c r="Z13" s="167">
        <v>2152</v>
      </c>
      <c r="AA13" s="184">
        <f t="shared" si="6"/>
        <v>16.240706319702603</v>
      </c>
      <c r="AB13" s="184">
        <v>34950</v>
      </c>
      <c r="AC13" s="167">
        <v>187</v>
      </c>
      <c r="AD13" s="167">
        <f t="shared" si="7"/>
        <v>27.058823529411764</v>
      </c>
      <c r="AE13" s="167">
        <v>5060</v>
      </c>
      <c r="AF13" s="184">
        <f t="shared" si="8"/>
        <v>16.165019762845851</v>
      </c>
      <c r="AG13" s="184">
        <v>81795</v>
      </c>
      <c r="AH13" s="167">
        <v>156</v>
      </c>
      <c r="AI13" s="167">
        <f t="shared" si="9"/>
        <v>33.884615384615387</v>
      </c>
      <c r="AJ13" s="167">
        <v>5286</v>
      </c>
      <c r="AK13" s="184">
        <f t="shared" si="1"/>
        <v>16.203887627695799</v>
      </c>
      <c r="AL13" s="184">
        <v>85653.75</v>
      </c>
      <c r="AM13" s="167">
        <v>144</v>
      </c>
      <c r="AN13" s="167">
        <f t="shared" si="10"/>
        <v>54.833333333333336</v>
      </c>
      <c r="AO13" s="167">
        <v>7896</v>
      </c>
      <c r="AP13" s="184">
        <f t="shared" si="11"/>
        <v>16.233535967578522</v>
      </c>
      <c r="AQ13" s="184">
        <v>128180</v>
      </c>
      <c r="AR13" s="167">
        <v>123</v>
      </c>
      <c r="AS13" s="167">
        <f t="shared" si="12"/>
        <v>52.357723577235774</v>
      </c>
      <c r="AT13" s="167">
        <v>6440</v>
      </c>
      <c r="AU13" s="184">
        <f t="shared" si="13"/>
        <v>22.313664596273291</v>
      </c>
      <c r="AV13" s="184">
        <v>143700</v>
      </c>
      <c r="AW13" s="167">
        <f>'Factor D Back Up'!D104</f>
        <v>150</v>
      </c>
      <c r="AX13" s="167">
        <f>'Factor D Back Up'!E104</f>
        <v>51.251447669638821</v>
      </c>
      <c r="AY13" s="167">
        <f>'Factor D Back Up'!F104</f>
        <v>7687.7171504458229</v>
      </c>
      <c r="AZ13" s="184">
        <f>'Factor D Back Up'!G104</f>
        <v>25.26</v>
      </c>
      <c r="BA13" s="184">
        <f>'Factor D Back Up'!H104</f>
        <v>194191.7352202615</v>
      </c>
      <c r="BB13" s="167">
        <f>'Factor D Back Up'!D105</f>
        <v>157</v>
      </c>
      <c r="BC13" s="167">
        <f>'Factor D Back Up'!E105</f>
        <v>55.154759727477355</v>
      </c>
      <c r="BD13" s="167">
        <f>'Factor D Back Up'!F105</f>
        <v>8659.2972772139456</v>
      </c>
      <c r="BE13" s="184">
        <f>'Factor D Back Up'!G105</f>
        <v>25.91676</v>
      </c>
      <c r="BF13" s="184">
        <f>'Factor D Back Up'!H105</f>
        <v>224420.92930220728</v>
      </c>
      <c r="BG13" s="167">
        <f>'Factor D Back Up'!D106</f>
        <v>162</v>
      </c>
      <c r="BH13" s="167">
        <f>'Factor D Back Up'!E106</f>
        <v>59.058071785315889</v>
      </c>
      <c r="BI13" s="167">
        <f>'Factor D Back Up'!F106</f>
        <v>9567.4076292211739</v>
      </c>
      <c r="BJ13" s="184">
        <f>'Factor D Back Up'!G106</f>
        <v>26.590595759999999</v>
      </c>
      <c r="BK13" s="184">
        <f>'Factor D Back Up'!H106</f>
        <v>254403.0687397602</v>
      </c>
      <c r="BL13" s="167">
        <f>'Factor D Back Up'!D107</f>
        <v>165</v>
      </c>
      <c r="BM13" s="167">
        <f>'Factor D Back Up'!E107</f>
        <v>62.961383843154437</v>
      </c>
      <c r="BN13" s="167">
        <f>'Factor D Back Up'!F107</f>
        <v>10388.628334120482</v>
      </c>
      <c r="BO13" s="184">
        <f>'Factor D Back Up'!G107</f>
        <v>27.281951249759999</v>
      </c>
      <c r="BP13" s="184">
        <f>'Factor D Back Up'!H107</f>
        <v>283422.05176335044</v>
      </c>
      <c r="BQ13" s="167">
        <f>'Factor D Back Up'!D108</f>
        <v>168</v>
      </c>
      <c r="BR13" s="167">
        <f>'Factor D Back Up'!E108</f>
        <v>66.86469590099297</v>
      </c>
      <c r="BS13" s="167">
        <f>'Factor D Back Up'!F108</f>
        <v>11233.268911366818</v>
      </c>
      <c r="BT13" s="184">
        <f>'Factor D Back Up'!G108</f>
        <v>27.99128198225376</v>
      </c>
      <c r="BU13" s="184">
        <f>'Factor D Back Up'!H108</f>
        <v>314433.59768055333</v>
      </c>
      <c r="BV13" s="167">
        <f>'Factor D Back Up'!D109</f>
        <v>171</v>
      </c>
      <c r="BW13" s="167">
        <f>'Factor D Back Up'!E109</f>
        <v>70.768007958831504</v>
      </c>
      <c r="BX13" s="167">
        <f>'Factor D Back Up'!F109</f>
        <v>12101.329360960188</v>
      </c>
      <c r="BY13" s="184">
        <f>'Factor D Back Up'!G109</f>
        <v>28.719055313792357</v>
      </c>
      <c r="BZ13" s="184">
        <f>'Factor D Back Up'!H109</f>
        <v>347538.74728783517</v>
      </c>
      <c r="CB13" s="187">
        <f t="shared" si="14"/>
        <v>2124603.8799939677</v>
      </c>
      <c r="CC13" s="187">
        <f>+'linked - DO NOT USE or DELETE'!H8+'linked - DO NOT USE or DELETE'!M8+'linked - DO NOT USE or DELETE'!R8</f>
        <v>121993.75</v>
      </c>
      <c r="CD13" s="281">
        <f t="shared" si="15"/>
        <v>2246597.6299939677</v>
      </c>
      <c r="CF13" s="576">
        <f t="shared" si="16"/>
        <v>2246597.6299939677</v>
      </c>
    </row>
    <row r="14" spans="1:84" ht="15" customHeight="1" x14ac:dyDescent="0.25">
      <c r="A14" s="80" t="s">
        <v>328</v>
      </c>
      <c r="B14" s="165" t="s">
        <v>184</v>
      </c>
      <c r="C14" s="590" t="s">
        <v>152</v>
      </c>
      <c r="D14" s="167">
        <f>'Factor D Back Up'!D113</f>
        <v>36</v>
      </c>
      <c r="E14" s="167">
        <f t="shared" si="23"/>
        <v>1091.8611111111111</v>
      </c>
      <c r="F14" s="167">
        <v>39307</v>
      </c>
      <c r="G14" s="184">
        <f t="shared" si="24"/>
        <v>5.0728427506550995</v>
      </c>
      <c r="H14" s="184">
        <v>199398.23</v>
      </c>
      <c r="I14" s="167">
        <f>'Factor D Back Up'!D114</f>
        <v>41</v>
      </c>
      <c r="J14" s="167">
        <f t="shared" si="25"/>
        <v>1470.0975609756097</v>
      </c>
      <c r="K14" s="167">
        <v>60274</v>
      </c>
      <c r="L14" s="184">
        <f t="shared" si="26"/>
        <v>5.0174207784451008</v>
      </c>
      <c r="M14" s="184">
        <v>302420.02</v>
      </c>
      <c r="N14" s="167">
        <f>'Factor D Back Up'!D115</f>
        <v>48</v>
      </c>
      <c r="O14" s="167">
        <f t="shared" si="21"/>
        <v>1020.9583333333334</v>
      </c>
      <c r="P14" s="167">
        <v>49006</v>
      </c>
      <c r="Q14" s="184">
        <f t="shared" si="22"/>
        <v>4.9143839529853484</v>
      </c>
      <c r="R14" s="184">
        <v>240834.3</v>
      </c>
      <c r="S14" s="167">
        <v>68</v>
      </c>
      <c r="T14" s="167">
        <f t="shared" si="4"/>
        <v>876.07352941176475</v>
      </c>
      <c r="U14" s="167">
        <v>59573</v>
      </c>
      <c r="V14" s="184">
        <f t="shared" si="0"/>
        <v>5.078948181223037</v>
      </c>
      <c r="W14" s="184">
        <v>302568.18</v>
      </c>
      <c r="X14" s="167">
        <v>77</v>
      </c>
      <c r="Y14" s="167">
        <f t="shared" si="5"/>
        <v>1113.6568831168831</v>
      </c>
      <c r="Z14" s="167">
        <v>85751.58</v>
      </c>
      <c r="AA14" s="184">
        <f t="shared" si="6"/>
        <v>5.1084182938670049</v>
      </c>
      <c r="AB14" s="184">
        <v>438054.94</v>
      </c>
      <c r="AC14" s="167">
        <v>158</v>
      </c>
      <c r="AD14" s="167">
        <f t="shared" si="7"/>
        <v>918.27848101265818</v>
      </c>
      <c r="AE14" s="167">
        <v>145088</v>
      </c>
      <c r="AF14" s="184">
        <f t="shared" si="8"/>
        <v>4.9676165499558893</v>
      </c>
      <c r="AG14" s="184">
        <v>720741.55</v>
      </c>
      <c r="AH14" s="167">
        <f>4+212</f>
        <v>216</v>
      </c>
      <c r="AI14" s="167">
        <f t="shared" si="9"/>
        <v>790.60185185185185</v>
      </c>
      <c r="AJ14" s="167">
        <f>1820+168950</f>
        <v>170770</v>
      </c>
      <c r="AK14" s="184">
        <f t="shared" si="1"/>
        <v>4.9888394917140015</v>
      </c>
      <c r="AL14" s="184">
        <f>842793.2+9150.92</f>
        <v>851944.12</v>
      </c>
      <c r="AM14" s="167">
        <v>159</v>
      </c>
      <c r="AN14" s="167">
        <f t="shared" si="10"/>
        <v>1120.6100628930817</v>
      </c>
      <c r="AO14" s="167">
        <v>178177</v>
      </c>
      <c r="AP14" s="184">
        <f t="shared" si="11"/>
        <v>4.9828046268598083</v>
      </c>
      <c r="AQ14" s="184">
        <v>887821.18</v>
      </c>
      <c r="AR14" s="167">
        <v>167</v>
      </c>
      <c r="AS14" s="167">
        <f t="shared" si="12"/>
        <v>924.07185628742513</v>
      </c>
      <c r="AT14" s="167">
        <v>154320</v>
      </c>
      <c r="AU14" s="184">
        <f t="shared" si="13"/>
        <v>5.0876476801451531</v>
      </c>
      <c r="AV14" s="184">
        <v>785125.79</v>
      </c>
      <c r="AW14" s="167">
        <f>'Factor D Back Up'!D122</f>
        <v>181</v>
      </c>
      <c r="AX14" s="167">
        <f>'Factor D Back Up'!E122</f>
        <v>858.06822514615794</v>
      </c>
      <c r="AY14" s="167">
        <f>'Factor D Back Up'!F122</f>
        <v>155310.34875145458</v>
      </c>
      <c r="AZ14" s="184">
        <f>'Factor D Back Up'!G122</f>
        <v>5.18</v>
      </c>
      <c r="BA14" s="184">
        <f>'Factor D Back Up'!H122</f>
        <v>804507.6065325347</v>
      </c>
      <c r="BB14" s="167">
        <f>'Factor D Back Up'!D123</f>
        <v>202</v>
      </c>
      <c r="BC14" s="167">
        <f>'Factor D Back Up'!E123</f>
        <v>822.43276639775127</v>
      </c>
      <c r="BD14" s="167">
        <f>'Factor D Back Up'!F123</f>
        <v>166131.41881234574</v>
      </c>
      <c r="BE14" s="184">
        <f>'Factor D Back Up'!G123</f>
        <v>5.3146800000000001</v>
      </c>
      <c r="BF14" s="184">
        <f>'Factor D Back Up'!H123</f>
        <v>882935.32893359766</v>
      </c>
      <c r="BG14" s="167">
        <f>'Factor D Back Up'!D124</f>
        <v>217</v>
      </c>
      <c r="BH14" s="167">
        <f>'Factor D Back Up'!E124</f>
        <v>786.7973076493447</v>
      </c>
      <c r="BI14" s="167">
        <f>'Factor D Back Up'!F124</f>
        <v>170735.01575990781</v>
      </c>
      <c r="BJ14" s="184">
        <f>'Factor D Back Up'!G124</f>
        <v>5.4528616799999998</v>
      </c>
      <c r="BK14" s="184">
        <f>'Factor D Back Up'!H124</f>
        <v>930994.42487139732</v>
      </c>
      <c r="BL14" s="167">
        <f>'Factor D Back Up'!D125</f>
        <v>227</v>
      </c>
      <c r="BM14" s="167">
        <f>'Factor D Back Up'!E125</f>
        <v>751.16184890093814</v>
      </c>
      <c r="BN14" s="167">
        <f>'Factor D Back Up'!F125</f>
        <v>170513.73970051296</v>
      </c>
      <c r="BO14" s="184">
        <f>'Factor D Back Up'!G125</f>
        <v>5.5946360836800002</v>
      </c>
      <c r="BP14" s="184">
        <f>'Factor D Back Up'!H125</f>
        <v>953962.32089170883</v>
      </c>
      <c r="BQ14" s="167">
        <f>'Factor D Back Up'!D126</f>
        <v>236</v>
      </c>
      <c r="BR14" s="167">
        <f>'Factor D Back Up'!E126</f>
        <v>715.52639015253146</v>
      </c>
      <c r="BS14" s="167">
        <f>'Factor D Back Up'!F126</f>
        <v>168864.22807599744</v>
      </c>
      <c r="BT14" s="184">
        <f>'Factor D Back Up'!G126</f>
        <v>5.7400966218556801</v>
      </c>
      <c r="BU14" s="184">
        <f>'Factor D Back Up'!H126</f>
        <v>969296.98513129994</v>
      </c>
      <c r="BV14" s="167">
        <f>'Factor D Back Up'!D127</f>
        <v>245</v>
      </c>
      <c r="BW14" s="167">
        <f>'Factor D Back Up'!E127</f>
        <v>679.89093140412479</v>
      </c>
      <c r="BX14" s="167">
        <f>'Factor D Back Up'!F127</f>
        <v>166573.27819401058</v>
      </c>
      <c r="BY14" s="184">
        <f>'Factor D Back Up'!G127</f>
        <v>5.8893391340239276</v>
      </c>
      <c r="BZ14" s="184">
        <f>'Factor D Back Up'!H127</f>
        <v>981006.52595064102</v>
      </c>
      <c r="CB14" s="187">
        <f t="shared" si="14"/>
        <v>9508958.9523111787</v>
      </c>
      <c r="CC14" s="187">
        <f>+'linked - DO NOT USE or DELETE'!H9+'linked - DO NOT USE or DELETE'!M9+'linked - DO NOT USE or DELETE'!R9</f>
        <v>742652.55</v>
      </c>
      <c r="CD14" s="281">
        <f t="shared" si="15"/>
        <v>10251611.502311179</v>
      </c>
      <c r="CF14" s="576">
        <f t="shared" si="16"/>
        <v>10251611.502311179</v>
      </c>
    </row>
    <row r="15" spans="1:84" ht="15" customHeight="1" x14ac:dyDescent="0.25">
      <c r="A15" s="80" t="s">
        <v>329</v>
      </c>
      <c r="B15" s="165" t="s">
        <v>184</v>
      </c>
      <c r="C15" s="590" t="s">
        <v>135</v>
      </c>
      <c r="D15" s="167">
        <v>77</v>
      </c>
      <c r="E15" s="167">
        <f t="shared" si="23"/>
        <v>42.103896103896105</v>
      </c>
      <c r="F15" s="167">
        <v>3242</v>
      </c>
      <c r="G15" s="184">
        <f t="shared" si="24"/>
        <v>275.46063541024057</v>
      </c>
      <c r="H15" s="184">
        <v>893043.38</v>
      </c>
      <c r="I15" s="167">
        <v>92</v>
      </c>
      <c r="J15" s="167">
        <f t="shared" si="25"/>
        <v>28.271739130434781</v>
      </c>
      <c r="K15" s="167">
        <v>2601</v>
      </c>
      <c r="L15" s="184">
        <f t="shared" si="26"/>
        <v>310.23836985774705</v>
      </c>
      <c r="M15" s="184">
        <v>806930</v>
      </c>
      <c r="N15" s="167">
        <v>75</v>
      </c>
      <c r="O15" s="167">
        <f t="shared" si="21"/>
        <v>20.053333333333335</v>
      </c>
      <c r="P15" s="167">
        <v>1504</v>
      </c>
      <c r="Q15" s="184">
        <f t="shared" si="22"/>
        <v>309.89694148936172</v>
      </c>
      <c r="R15" s="184">
        <v>466085</v>
      </c>
      <c r="S15" s="167">
        <v>79</v>
      </c>
      <c r="T15" s="167">
        <f t="shared" si="4"/>
        <v>24.379746835443036</v>
      </c>
      <c r="U15" s="167">
        <v>1926</v>
      </c>
      <c r="V15" s="184">
        <f t="shared" si="0"/>
        <v>308.078712357217</v>
      </c>
      <c r="W15" s="184">
        <v>593359.6</v>
      </c>
      <c r="X15" s="167">
        <v>73</v>
      </c>
      <c r="Y15" s="167">
        <f t="shared" si="5"/>
        <v>17.986301369863014</v>
      </c>
      <c r="Z15" s="167">
        <v>1313</v>
      </c>
      <c r="AA15" s="184">
        <f t="shared" si="6"/>
        <v>310</v>
      </c>
      <c r="AB15" s="184">
        <v>407030</v>
      </c>
      <c r="AC15" s="167">
        <v>90</v>
      </c>
      <c r="AD15" s="167">
        <f t="shared" si="7"/>
        <v>16.622222222222224</v>
      </c>
      <c r="AE15" s="167">
        <v>1496</v>
      </c>
      <c r="AF15" s="184">
        <f t="shared" si="8"/>
        <v>307.95390374331549</v>
      </c>
      <c r="AG15" s="184">
        <v>460699.04</v>
      </c>
      <c r="AH15" s="167">
        <f>97+26</f>
        <v>123</v>
      </c>
      <c r="AI15" s="167">
        <f t="shared" si="9"/>
        <v>29.772357723577237</v>
      </c>
      <c r="AJ15" s="167">
        <f>2059+1603</f>
        <v>3662</v>
      </c>
      <c r="AK15" s="184">
        <f t="shared" si="1"/>
        <v>310</v>
      </c>
      <c r="AL15" s="184">
        <f>638290+496930</f>
        <v>1135220</v>
      </c>
      <c r="AM15" s="167">
        <v>95</v>
      </c>
      <c r="AN15" s="167">
        <f>AO15/AM15</f>
        <v>38.210526315789473</v>
      </c>
      <c r="AO15" s="167">
        <v>3630</v>
      </c>
      <c r="AP15" s="184">
        <f>AQ15/AO15</f>
        <v>311.50984022038568</v>
      </c>
      <c r="AQ15" s="184">
        <f>433340.72+697440</f>
        <v>1130780.72</v>
      </c>
      <c r="AR15" s="167">
        <v>179</v>
      </c>
      <c r="AS15" s="167">
        <f t="shared" si="12"/>
        <v>21.145251396648046</v>
      </c>
      <c r="AT15" s="167">
        <v>3785</v>
      </c>
      <c r="AU15" s="184">
        <f t="shared" si="13"/>
        <v>393.88500660501984</v>
      </c>
      <c r="AV15" s="184">
        <v>1490854.75</v>
      </c>
      <c r="AW15" s="167">
        <f>'Factor D Back Up'!D140</f>
        <v>115</v>
      </c>
      <c r="AX15" s="167">
        <f>'Factor D Back Up'!E140</f>
        <v>30</v>
      </c>
      <c r="AY15" s="167">
        <f>'Factor D Back Up'!F140</f>
        <v>3450</v>
      </c>
      <c r="AZ15" s="184">
        <f>'Factor D Back Up'!G140</f>
        <v>404.1</v>
      </c>
      <c r="BA15" s="184">
        <f>'Factor D Back Up'!H140</f>
        <v>1394145</v>
      </c>
      <c r="BB15" s="167">
        <f>'Factor D Back Up'!D141</f>
        <v>123</v>
      </c>
      <c r="BC15" s="167">
        <f>'Factor D Back Up'!E141</f>
        <v>30</v>
      </c>
      <c r="BD15" s="167">
        <f>'Factor D Back Up'!F141</f>
        <v>3690</v>
      </c>
      <c r="BE15" s="184">
        <f>'Factor D Back Up'!G141</f>
        <v>414.60660000000001</v>
      </c>
      <c r="BF15" s="184">
        <f>'Factor D Back Up'!H141</f>
        <v>1529898.3540000001</v>
      </c>
      <c r="BG15" s="167">
        <f>'Factor D Back Up'!D142</f>
        <v>128</v>
      </c>
      <c r="BH15" s="167">
        <f>'Factor D Back Up'!E142</f>
        <v>30</v>
      </c>
      <c r="BI15" s="167">
        <f>'Factor D Back Up'!F142</f>
        <v>3840</v>
      </c>
      <c r="BJ15" s="184">
        <f>'Factor D Back Up'!G142</f>
        <v>425.38637160000002</v>
      </c>
      <c r="BK15" s="184">
        <f>'Factor D Back Up'!H142</f>
        <v>1633483.6669440002</v>
      </c>
      <c r="BL15" s="167">
        <f>'Factor D Back Up'!D143</f>
        <v>132</v>
      </c>
      <c r="BM15" s="167">
        <f>'Factor D Back Up'!E143</f>
        <v>30</v>
      </c>
      <c r="BN15" s="167">
        <f>'Factor D Back Up'!F143</f>
        <v>3960</v>
      </c>
      <c r="BO15" s="184">
        <f>'Factor D Back Up'!G143</f>
        <v>436.4464172616</v>
      </c>
      <c r="BP15" s="184">
        <f>'Factor D Back Up'!H143</f>
        <v>1728327.812355936</v>
      </c>
      <c r="BQ15" s="167">
        <f>'Factor D Back Up'!D144</f>
        <v>135</v>
      </c>
      <c r="BR15" s="167">
        <f>'Factor D Back Up'!E144</f>
        <v>30</v>
      </c>
      <c r="BS15" s="167">
        <f>'Factor D Back Up'!F144</f>
        <v>4050</v>
      </c>
      <c r="BT15" s="184">
        <f>'Factor D Back Up'!G144</f>
        <v>447.79402411040161</v>
      </c>
      <c r="BU15" s="184">
        <f>'Factor D Back Up'!H144</f>
        <v>1813565.7976471265</v>
      </c>
      <c r="BV15" s="167">
        <f>'Factor D Back Up'!D145</f>
        <v>138</v>
      </c>
      <c r="BW15" s="167">
        <f>'Factor D Back Up'!E145</f>
        <v>30</v>
      </c>
      <c r="BX15" s="167">
        <f>'Factor D Back Up'!F145</f>
        <v>4140</v>
      </c>
      <c r="BY15" s="184">
        <f>'Factor D Back Up'!G145</f>
        <v>459.43666873727204</v>
      </c>
      <c r="BZ15" s="184">
        <f>'Factor D Back Up'!H145</f>
        <v>1902067.8085723063</v>
      </c>
      <c r="CB15" s="187">
        <f t="shared" si="14"/>
        <v>15219432.549519368</v>
      </c>
      <c r="CC15" s="187">
        <f>+'linked - DO NOT USE or DELETE'!H10+'linked - DO NOT USE or DELETE'!M10+'linked - DO NOT USE or DELETE'!R10</f>
        <v>2166058.38</v>
      </c>
      <c r="CD15" s="281">
        <f t="shared" si="15"/>
        <v>17385490.929519366</v>
      </c>
      <c r="CF15" s="576">
        <f t="shared" si="16"/>
        <v>17385490.929519366</v>
      </c>
    </row>
    <row r="16" spans="1:84" ht="15" customHeight="1" x14ac:dyDescent="0.25">
      <c r="A16" s="147" t="s">
        <v>1038</v>
      </c>
      <c r="B16" s="165" t="s">
        <v>184</v>
      </c>
      <c r="C16" s="590" t="s">
        <v>152</v>
      </c>
      <c r="D16" s="175"/>
      <c r="E16" s="175"/>
      <c r="F16" s="175"/>
      <c r="G16" s="185"/>
      <c r="H16" s="185"/>
      <c r="I16" s="175"/>
      <c r="J16" s="175"/>
      <c r="K16" s="175"/>
      <c r="L16" s="185"/>
      <c r="M16" s="185"/>
      <c r="N16" s="175"/>
      <c r="O16" s="175"/>
      <c r="P16" s="175"/>
      <c r="Q16" s="185"/>
      <c r="R16" s="185"/>
      <c r="S16" s="175"/>
      <c r="T16" s="175"/>
      <c r="U16" s="175"/>
      <c r="V16" s="185"/>
      <c r="W16" s="185"/>
      <c r="X16" s="175"/>
      <c r="Y16" s="175"/>
      <c r="Z16" s="175"/>
      <c r="AA16" s="185"/>
      <c r="AB16" s="185"/>
      <c r="AC16" s="175"/>
      <c r="AD16" s="175"/>
      <c r="AE16" s="175"/>
      <c r="AF16" s="185"/>
      <c r="AG16" s="185"/>
      <c r="AH16" s="175"/>
      <c r="AI16" s="175"/>
      <c r="AJ16" s="175"/>
      <c r="AK16" s="185"/>
      <c r="AL16" s="185"/>
      <c r="AM16" s="175"/>
      <c r="AN16" s="175"/>
      <c r="AO16" s="175"/>
      <c r="AP16" s="185"/>
      <c r="AQ16" s="185"/>
      <c r="AR16" s="175"/>
      <c r="AS16" s="175"/>
      <c r="AT16" s="175"/>
      <c r="AU16" s="185"/>
      <c r="AV16" s="185"/>
      <c r="AW16" s="175"/>
      <c r="AX16" s="175"/>
      <c r="AY16" s="175"/>
      <c r="AZ16" s="185"/>
      <c r="BA16" s="185"/>
      <c r="BB16" s="167">
        <f>'Factor D Back Up'!D159</f>
        <v>8</v>
      </c>
      <c r="BC16" s="167">
        <f>'Factor D Back Up'!E159</f>
        <v>27.856194207027542</v>
      </c>
      <c r="BD16" s="167">
        <f>'Factor D Back Up'!F159</f>
        <v>222.84955365622034</v>
      </c>
      <c r="BE16" s="184">
        <f>'Factor D Back Up'!G159</f>
        <v>6.31</v>
      </c>
      <c r="BF16" s="184">
        <f>'Factor D Back Up'!H159</f>
        <v>1406.1806835707503</v>
      </c>
      <c r="BG16" s="167">
        <f>'Factor D Back Up'!D160</f>
        <v>12</v>
      </c>
      <c r="BH16" s="167">
        <f>'Factor D Back Up'!E160</f>
        <v>23.633637226970563</v>
      </c>
      <c r="BI16" s="167">
        <f>'Factor D Back Up'!F160</f>
        <v>283.60364672364676</v>
      </c>
      <c r="BJ16" s="184">
        <f>'Factor D Back Up'!G160</f>
        <v>6.4740599999999997</v>
      </c>
      <c r="BK16" s="184">
        <f>'Factor D Back Up'!H160</f>
        <v>1836.0670251076924</v>
      </c>
      <c r="BL16" s="167">
        <f>'Factor D Back Up'!D161</f>
        <v>24</v>
      </c>
      <c r="BM16" s="167">
        <f>'Factor D Back Up'!E161</f>
        <v>19.411080246913585</v>
      </c>
      <c r="BN16" s="167">
        <f>'Factor D Back Up'!F161</f>
        <v>465.86592592592604</v>
      </c>
      <c r="BO16" s="184">
        <f>'Factor D Back Up'!G161</f>
        <v>6.6423855599999992</v>
      </c>
      <c r="BP16" s="184">
        <f>'Factor D Back Up'!H161</f>
        <v>3094.4610992664002</v>
      </c>
      <c r="BQ16" s="167">
        <f>'Factor D Back Up'!D162</f>
        <v>24</v>
      </c>
      <c r="BR16" s="167">
        <f>'Factor D Back Up'!E162</f>
        <v>15.188523266856606</v>
      </c>
      <c r="BS16" s="167">
        <f>'Factor D Back Up'!F162</f>
        <v>364.52455840455855</v>
      </c>
      <c r="BT16" s="184">
        <f>'Factor D Back Up'!G162</f>
        <v>6.8150875845599996</v>
      </c>
      <c r="BU16" s="184">
        <f>'Factor D Back Up'!H162</f>
        <v>2484.2667922501232</v>
      </c>
      <c r="BV16" s="167">
        <f>'Factor D Back Up'!D163</f>
        <v>24</v>
      </c>
      <c r="BW16" s="167">
        <f>'Factor D Back Up'!E163</f>
        <v>10.965966286799627</v>
      </c>
      <c r="BX16" s="167">
        <f>'Factor D Back Up'!F163</f>
        <v>263.18319088319106</v>
      </c>
      <c r="BY16" s="184">
        <f>'Factor D Back Up'!G163</f>
        <v>6.9922798617585595</v>
      </c>
      <c r="BZ16" s="184">
        <f>'Factor D Back Up'!H163</f>
        <v>1840.2505255658957</v>
      </c>
      <c r="CB16" s="187">
        <f t="shared" si="14"/>
        <v>10661.226125760861</v>
      </c>
      <c r="CC16" s="187"/>
      <c r="CD16" s="281">
        <f t="shared" si="15"/>
        <v>10661.226125760861</v>
      </c>
      <c r="CF16" s="576">
        <f t="shared" si="16"/>
        <v>10661.226125760862</v>
      </c>
    </row>
    <row r="17" spans="1:84" ht="15" customHeight="1" x14ac:dyDescent="0.25">
      <c r="A17" s="80" t="s">
        <v>1037</v>
      </c>
      <c r="B17" s="165" t="s">
        <v>184</v>
      </c>
      <c r="C17" s="590" t="s">
        <v>152</v>
      </c>
      <c r="D17" s="167">
        <v>48</v>
      </c>
      <c r="E17" s="167">
        <f t="shared" si="23"/>
        <v>37.354166666666664</v>
      </c>
      <c r="F17" s="167">
        <v>1793</v>
      </c>
      <c r="G17" s="184">
        <f t="shared" si="24"/>
        <v>15</v>
      </c>
      <c r="H17" s="184">
        <v>26895</v>
      </c>
      <c r="I17" s="167">
        <v>39</v>
      </c>
      <c r="J17" s="167">
        <f t="shared" si="25"/>
        <v>55.897435897435898</v>
      </c>
      <c r="K17" s="167">
        <v>2180</v>
      </c>
      <c r="L17" s="184">
        <f t="shared" si="26"/>
        <v>15</v>
      </c>
      <c r="M17" s="184">
        <v>32700</v>
      </c>
      <c r="N17" s="167">
        <v>18</v>
      </c>
      <c r="O17" s="167">
        <f t="shared" si="21"/>
        <v>138.72222222222223</v>
      </c>
      <c r="P17" s="167">
        <v>2497</v>
      </c>
      <c r="Q17" s="184">
        <f t="shared" si="22"/>
        <v>15</v>
      </c>
      <c r="R17" s="184">
        <v>37455</v>
      </c>
      <c r="S17" s="167">
        <v>10</v>
      </c>
      <c r="T17" s="167">
        <f t="shared" si="4"/>
        <v>72.099999999999994</v>
      </c>
      <c r="U17" s="167">
        <v>721</v>
      </c>
      <c r="V17" s="184">
        <f t="shared" si="0"/>
        <v>14.972260748959778</v>
      </c>
      <c r="W17" s="184">
        <v>10795</v>
      </c>
      <c r="X17" s="167">
        <v>8</v>
      </c>
      <c r="Y17" s="167">
        <f t="shared" si="5"/>
        <v>20.75</v>
      </c>
      <c r="Z17" s="167">
        <v>166</v>
      </c>
      <c r="AA17" s="184">
        <f t="shared" si="6"/>
        <v>13.554216867469879</v>
      </c>
      <c r="AB17" s="184">
        <v>2250</v>
      </c>
      <c r="AC17" s="167">
        <v>5</v>
      </c>
      <c r="AD17" s="167">
        <f t="shared" si="7"/>
        <v>30</v>
      </c>
      <c r="AE17" s="167">
        <v>150</v>
      </c>
      <c r="AF17" s="184">
        <f t="shared" si="8"/>
        <v>15</v>
      </c>
      <c r="AG17" s="184">
        <v>2250</v>
      </c>
      <c r="AH17" s="167">
        <v>5</v>
      </c>
      <c r="AI17" s="167">
        <f t="shared" si="9"/>
        <v>6.4</v>
      </c>
      <c r="AJ17" s="167">
        <v>32</v>
      </c>
      <c r="AK17" s="184">
        <f t="shared" si="1"/>
        <v>15</v>
      </c>
      <c r="AL17" s="184">
        <v>480</v>
      </c>
      <c r="AM17" s="167">
        <v>2</v>
      </c>
      <c r="AN17" s="167">
        <f t="shared" si="10"/>
        <v>99.5</v>
      </c>
      <c r="AO17" s="167">
        <v>199</v>
      </c>
      <c r="AP17" s="184">
        <f t="shared" si="11"/>
        <v>15</v>
      </c>
      <c r="AQ17" s="184">
        <v>2985</v>
      </c>
      <c r="AR17" s="167">
        <v>1</v>
      </c>
      <c r="AS17" s="167">
        <f t="shared" si="12"/>
        <v>18</v>
      </c>
      <c r="AT17" s="167">
        <v>18</v>
      </c>
      <c r="AU17" s="184">
        <f t="shared" si="13"/>
        <v>15.200000000000001</v>
      </c>
      <c r="AV17" s="184">
        <v>273.60000000000002</v>
      </c>
      <c r="AW17" s="167">
        <f>'Factor D Back Up'!D176</f>
        <v>0</v>
      </c>
      <c r="AX17" s="167">
        <f>'Factor D Back Up'!E176</f>
        <v>32.078751187084521</v>
      </c>
      <c r="AY17" s="167">
        <f>'Factor D Back Up'!F176</f>
        <v>0</v>
      </c>
      <c r="AZ17" s="184">
        <f>'Factor D Back Up'!G176</f>
        <v>15.36</v>
      </c>
      <c r="BA17" s="184">
        <f>'Factor D Back Up'!H176</f>
        <v>0</v>
      </c>
      <c r="BB17" s="167">
        <f>'Factor D Back Up'!D177</f>
        <v>4</v>
      </c>
      <c r="BC17" s="167">
        <f>'Factor D Back Up'!E177</f>
        <v>27.856194207027542</v>
      </c>
      <c r="BD17" s="167">
        <f>'Factor D Back Up'!F177</f>
        <v>111.42477682811017</v>
      </c>
      <c r="BE17" s="184">
        <f>'Factor D Back Up'!G177</f>
        <v>15.759359999999999</v>
      </c>
      <c r="BF17" s="184">
        <f>'Factor D Back Up'!H177</f>
        <v>1755.9831709538462</v>
      </c>
      <c r="BG17" s="167">
        <f>'Factor D Back Up'!D178</f>
        <v>6</v>
      </c>
      <c r="BH17" s="167">
        <f>'Factor D Back Up'!E178</f>
        <v>23.633637226970563</v>
      </c>
      <c r="BI17" s="167">
        <f>'Factor D Back Up'!F178</f>
        <v>141.80182336182338</v>
      </c>
      <c r="BJ17" s="184">
        <f>'Factor D Back Up'!G178</f>
        <v>16.169103359999998</v>
      </c>
      <c r="BK17" s="184">
        <f>'Factor D Back Up'!H178</f>
        <v>2292.8083385737846</v>
      </c>
      <c r="BL17" s="167">
        <f>'Factor D Back Up'!D179</f>
        <v>12</v>
      </c>
      <c r="BM17" s="167">
        <f>'Factor D Back Up'!E179</f>
        <v>19.411080246913585</v>
      </c>
      <c r="BN17" s="167">
        <f>'Factor D Back Up'!F179</f>
        <v>232.93296296296302</v>
      </c>
      <c r="BO17" s="184">
        <f>'Factor D Back Up'!G179</f>
        <v>16.589500047359998</v>
      </c>
      <c r="BP17" s="184">
        <f>'Factor D Back Up'!H179</f>
        <v>3864.2414001057796</v>
      </c>
      <c r="BQ17" s="167">
        <f>'Factor D Back Up'!D180</f>
        <v>12</v>
      </c>
      <c r="BR17" s="167">
        <f>'Factor D Back Up'!E180</f>
        <v>15.188523266856606</v>
      </c>
      <c r="BS17" s="167">
        <f>'Factor D Back Up'!F180</f>
        <v>182.26227920227927</v>
      </c>
      <c r="BT17" s="184">
        <f>'Factor D Back Up'!G180</f>
        <v>17.020827048591357</v>
      </c>
      <c r="BU17" s="184">
        <f>'Factor D Back Up'!H180</f>
        <v>3102.2547317840649</v>
      </c>
      <c r="BV17" s="167">
        <f>'Factor D Back Up'!D181</f>
        <v>12</v>
      </c>
      <c r="BW17" s="167">
        <f>'Factor D Back Up'!E181</f>
        <v>10.965966286799627</v>
      </c>
      <c r="BX17" s="167">
        <f>'Factor D Back Up'!F181</f>
        <v>131.59159544159553</v>
      </c>
      <c r="BY17" s="184">
        <f>'Factor D Back Up'!G181</f>
        <v>17.463368551854732</v>
      </c>
      <c r="BZ17" s="184">
        <f>'Factor D Back Up'!H181</f>
        <v>2298.0325295231501</v>
      </c>
      <c r="CB17" s="187">
        <f t="shared" si="14"/>
        <v>32346.920170940626</v>
      </c>
      <c r="CC17" s="187">
        <f>+'linked - DO NOT USE or DELETE'!H15+'linked - DO NOT USE or DELETE'!M15+'linked - DO NOT USE or DELETE'!R15</f>
        <v>97050</v>
      </c>
      <c r="CD17" s="281">
        <f t="shared" si="15"/>
        <v>129396.92017094063</v>
      </c>
      <c r="CF17" s="576">
        <f t="shared" si="16"/>
        <v>129396.92017094062</v>
      </c>
    </row>
    <row r="18" spans="1:84" ht="15" customHeight="1" x14ac:dyDescent="0.25">
      <c r="A18" s="80" t="s">
        <v>200</v>
      </c>
      <c r="B18" s="165" t="s">
        <v>184</v>
      </c>
      <c r="C18" s="590" t="s">
        <v>152</v>
      </c>
      <c r="D18" s="167">
        <v>0</v>
      </c>
      <c r="E18" s="167" t="e">
        <f t="shared" si="23"/>
        <v>#DIV/0!</v>
      </c>
      <c r="F18" s="167">
        <v>0</v>
      </c>
      <c r="G18" s="184" t="e">
        <f t="shared" si="24"/>
        <v>#DIV/0!</v>
      </c>
      <c r="H18" s="184">
        <v>0</v>
      </c>
      <c r="I18" s="167">
        <v>0</v>
      </c>
      <c r="J18" s="167" t="e">
        <f t="shared" si="25"/>
        <v>#DIV/0!</v>
      </c>
      <c r="K18" s="167">
        <v>0</v>
      </c>
      <c r="L18" s="184" t="e">
        <f t="shared" si="26"/>
        <v>#DIV/0!</v>
      </c>
      <c r="M18" s="184">
        <v>0</v>
      </c>
      <c r="N18" s="167">
        <v>0</v>
      </c>
      <c r="O18" s="167" t="e">
        <f t="shared" si="21"/>
        <v>#DIV/0!</v>
      </c>
      <c r="P18" s="167">
        <v>0</v>
      </c>
      <c r="Q18" s="184" t="e">
        <f t="shared" si="22"/>
        <v>#DIV/0!</v>
      </c>
      <c r="R18" s="184">
        <v>0</v>
      </c>
      <c r="S18" s="167">
        <v>0</v>
      </c>
      <c r="T18" s="167" t="e">
        <f t="shared" si="4"/>
        <v>#DIV/0!</v>
      </c>
      <c r="U18" s="167">
        <v>0</v>
      </c>
      <c r="V18" s="184" t="e">
        <f t="shared" si="0"/>
        <v>#DIV/0!</v>
      </c>
      <c r="W18" s="184">
        <v>0</v>
      </c>
      <c r="X18" s="167">
        <v>0</v>
      </c>
      <c r="Y18" s="167" t="e">
        <f t="shared" si="5"/>
        <v>#DIV/0!</v>
      </c>
      <c r="Z18" s="167">
        <v>0</v>
      </c>
      <c r="AA18" s="184" t="e">
        <f t="shared" si="6"/>
        <v>#DIV/0!</v>
      </c>
      <c r="AB18" s="184">
        <v>0</v>
      </c>
      <c r="AC18" s="167">
        <v>0</v>
      </c>
      <c r="AD18" s="167" t="e">
        <f t="shared" si="7"/>
        <v>#DIV/0!</v>
      </c>
      <c r="AE18" s="167">
        <v>0</v>
      </c>
      <c r="AF18" s="184" t="e">
        <f t="shared" si="8"/>
        <v>#DIV/0!</v>
      </c>
      <c r="AG18" s="184">
        <v>0</v>
      </c>
      <c r="AH18" s="167">
        <v>0</v>
      </c>
      <c r="AI18" s="167" t="e">
        <f t="shared" si="9"/>
        <v>#DIV/0!</v>
      </c>
      <c r="AJ18" s="167">
        <v>0</v>
      </c>
      <c r="AK18" s="184" t="e">
        <f t="shared" si="1"/>
        <v>#DIV/0!</v>
      </c>
      <c r="AL18" s="184">
        <v>0</v>
      </c>
      <c r="AM18" s="167">
        <v>0</v>
      </c>
      <c r="AN18" s="167" t="e">
        <f t="shared" si="10"/>
        <v>#DIV/0!</v>
      </c>
      <c r="AO18" s="167">
        <v>0</v>
      </c>
      <c r="AP18" s="184" t="e">
        <f t="shared" si="11"/>
        <v>#DIV/0!</v>
      </c>
      <c r="AQ18" s="184">
        <v>0</v>
      </c>
      <c r="AR18" s="167">
        <v>0</v>
      </c>
      <c r="AS18" s="167" t="e">
        <f t="shared" si="12"/>
        <v>#DIV/0!</v>
      </c>
      <c r="AT18" s="167">
        <v>0</v>
      </c>
      <c r="AU18" s="184" t="e">
        <f t="shared" si="13"/>
        <v>#DIV/0!</v>
      </c>
      <c r="AV18" s="184">
        <v>0</v>
      </c>
      <c r="AW18" s="167">
        <f>'Factor D Back Up'!D194</f>
        <v>0</v>
      </c>
      <c r="AX18" s="167">
        <f>'Factor D Back Up'!E194</f>
        <v>0</v>
      </c>
      <c r="AY18" s="167">
        <f>'Factor D Back Up'!F194</f>
        <v>0</v>
      </c>
      <c r="AZ18" s="184">
        <f>'Factor D Back Up'!G194</f>
        <v>15.36</v>
      </c>
      <c r="BA18" s="184">
        <f>'Factor D Back Up'!H194</f>
        <v>0</v>
      </c>
      <c r="BB18" s="175">
        <f>'Factor D Back Up'!D195</f>
        <v>0</v>
      </c>
      <c r="BC18" s="175">
        <f>'Factor D Back Up'!E195</f>
        <v>0</v>
      </c>
      <c r="BD18" s="175">
        <f>'Factor D Back Up'!F195</f>
        <v>0</v>
      </c>
      <c r="BE18" s="185">
        <f>'Factor D Back Up'!G195</f>
        <v>15.759359999999999</v>
      </c>
      <c r="BF18" s="185">
        <f>'Factor D Back Up'!H195</f>
        <v>0</v>
      </c>
      <c r="BG18" s="175">
        <f>'Factor D Back Up'!D196</f>
        <v>0</v>
      </c>
      <c r="BH18" s="175">
        <f>'Factor D Back Up'!E196</f>
        <v>0</v>
      </c>
      <c r="BI18" s="175">
        <f>'Factor D Back Up'!F196</f>
        <v>0</v>
      </c>
      <c r="BJ18" s="185">
        <f>'Factor D Back Up'!G196</f>
        <v>16.169103359999998</v>
      </c>
      <c r="BK18" s="185">
        <f>'Factor D Back Up'!H196</f>
        <v>0</v>
      </c>
      <c r="BL18" s="175">
        <f>'Factor D Back Up'!D197</f>
        <v>0</v>
      </c>
      <c r="BM18" s="175">
        <f>'Factor D Back Up'!E197</f>
        <v>0</v>
      </c>
      <c r="BN18" s="175">
        <f>'Factor D Back Up'!F197</f>
        <v>0</v>
      </c>
      <c r="BO18" s="185">
        <f>'Factor D Back Up'!G197</f>
        <v>16.589500047359998</v>
      </c>
      <c r="BP18" s="185">
        <f>'Factor D Back Up'!H197</f>
        <v>0</v>
      </c>
      <c r="BQ18" s="175">
        <f>'Factor D Back Up'!D198</f>
        <v>0</v>
      </c>
      <c r="BR18" s="175">
        <f>'Factor D Back Up'!E198</f>
        <v>0</v>
      </c>
      <c r="BS18" s="175">
        <f>'Factor D Back Up'!F198</f>
        <v>0</v>
      </c>
      <c r="BT18" s="185">
        <f>'Factor D Back Up'!G198</f>
        <v>17.020827048591357</v>
      </c>
      <c r="BU18" s="185">
        <f>'Factor D Back Up'!H198</f>
        <v>0</v>
      </c>
      <c r="BV18" s="175">
        <f>'Factor D Back Up'!D199</f>
        <v>0</v>
      </c>
      <c r="BW18" s="175">
        <f>'Factor D Back Up'!E199</f>
        <v>0</v>
      </c>
      <c r="BX18" s="175">
        <f>'Factor D Back Up'!F199</f>
        <v>0</v>
      </c>
      <c r="BY18" s="185">
        <f>'Factor D Back Up'!G199</f>
        <v>17.463368551854732</v>
      </c>
      <c r="BZ18" s="185">
        <f>'Factor D Back Up'!H199</f>
        <v>0</v>
      </c>
      <c r="CB18" s="187">
        <f t="shared" si="14"/>
        <v>0</v>
      </c>
      <c r="CC18" s="187">
        <f>+'linked - DO NOT USE or DELETE'!H16+'linked - DO NOT USE or DELETE'!M16+'linked - DO NOT USE or DELETE'!R16</f>
        <v>0</v>
      </c>
      <c r="CD18" s="281">
        <f t="shared" si="15"/>
        <v>0</v>
      </c>
      <c r="CF18" s="573">
        <f t="shared" si="16"/>
        <v>0</v>
      </c>
    </row>
    <row r="19" spans="1:84" ht="15" customHeight="1" x14ac:dyDescent="0.25">
      <c r="A19" s="80" t="s">
        <v>559</v>
      </c>
      <c r="B19" s="165" t="s">
        <v>131</v>
      </c>
      <c r="C19" s="590" t="s">
        <v>153</v>
      </c>
      <c r="D19" s="167">
        <v>0</v>
      </c>
      <c r="E19" s="167" t="e">
        <f t="shared" ref="E19" si="27">F19/D19</f>
        <v>#DIV/0!</v>
      </c>
      <c r="F19" s="167">
        <v>0</v>
      </c>
      <c r="G19" s="184" t="e">
        <f t="shared" ref="G19" si="28">H19/F19</f>
        <v>#DIV/0!</v>
      </c>
      <c r="H19" s="184">
        <v>0</v>
      </c>
      <c r="I19" s="167">
        <v>0</v>
      </c>
      <c r="J19" s="167" t="e">
        <f t="shared" ref="J19" si="29">K19/I19</f>
        <v>#DIV/0!</v>
      </c>
      <c r="K19" s="167">
        <v>0</v>
      </c>
      <c r="L19" s="184" t="e">
        <f t="shared" ref="L19" si="30">M19/K19</f>
        <v>#DIV/0!</v>
      </c>
      <c r="M19" s="184">
        <v>0</v>
      </c>
      <c r="N19" s="167">
        <v>0</v>
      </c>
      <c r="O19" s="167" t="e">
        <f t="shared" ref="O19" si="31">P19/N19</f>
        <v>#DIV/0!</v>
      </c>
      <c r="P19" s="167">
        <v>0</v>
      </c>
      <c r="Q19" s="184" t="e">
        <f t="shared" ref="Q19" si="32">R19/P19</f>
        <v>#DIV/0!</v>
      </c>
      <c r="R19" s="184">
        <v>0</v>
      </c>
      <c r="S19" s="167">
        <v>0</v>
      </c>
      <c r="T19" s="167" t="e">
        <f t="shared" ref="T19" si="33">U19/S19</f>
        <v>#DIV/0!</v>
      </c>
      <c r="U19" s="167">
        <v>0</v>
      </c>
      <c r="V19" s="184" t="e">
        <f t="shared" ref="V19" si="34">W19/U19</f>
        <v>#DIV/0!</v>
      </c>
      <c r="W19" s="184">
        <v>0</v>
      </c>
      <c r="X19" s="167">
        <v>0</v>
      </c>
      <c r="Y19" s="167" t="e">
        <f t="shared" ref="Y19" si="35">Z19/X19</f>
        <v>#DIV/0!</v>
      </c>
      <c r="Z19" s="167">
        <v>0</v>
      </c>
      <c r="AA19" s="184" t="e">
        <f t="shared" ref="AA19" si="36">AB19/Z19</f>
        <v>#DIV/0!</v>
      </c>
      <c r="AB19" s="184">
        <v>0</v>
      </c>
      <c r="AC19" s="167">
        <v>0</v>
      </c>
      <c r="AD19" s="167" t="e">
        <f t="shared" ref="AD19" si="37">AE19/AC19</f>
        <v>#DIV/0!</v>
      </c>
      <c r="AE19" s="167">
        <v>0</v>
      </c>
      <c r="AF19" s="184" t="e">
        <f t="shared" ref="AF19" si="38">AG19/AE19</f>
        <v>#DIV/0!</v>
      </c>
      <c r="AG19" s="184">
        <v>0</v>
      </c>
      <c r="AH19" s="167">
        <v>0</v>
      </c>
      <c r="AI19" s="167" t="e">
        <f t="shared" ref="AI19" si="39">AJ19/AH19</f>
        <v>#DIV/0!</v>
      </c>
      <c r="AJ19" s="167">
        <v>0</v>
      </c>
      <c r="AK19" s="184" t="e">
        <f t="shared" ref="AK19" si="40">AL19/AJ19</f>
        <v>#DIV/0!</v>
      </c>
      <c r="AL19" s="184">
        <v>0</v>
      </c>
      <c r="AM19" s="167">
        <v>0</v>
      </c>
      <c r="AN19" s="167" t="e">
        <f t="shared" ref="AN19" si="41">AO19/AM19</f>
        <v>#DIV/0!</v>
      </c>
      <c r="AO19" s="167">
        <v>0</v>
      </c>
      <c r="AP19" s="184" t="e">
        <f t="shared" ref="AP19" si="42">AQ19/AO19</f>
        <v>#DIV/0!</v>
      </c>
      <c r="AQ19" s="184">
        <v>0</v>
      </c>
      <c r="AR19" s="167">
        <v>0</v>
      </c>
      <c r="AS19" s="167" t="e">
        <f t="shared" ref="AS19" si="43">AT19/AR19</f>
        <v>#DIV/0!</v>
      </c>
      <c r="AT19" s="167">
        <v>0</v>
      </c>
      <c r="AU19" s="184" t="e">
        <f t="shared" ref="AU19" si="44">AV19/AT19</f>
        <v>#DIV/0!</v>
      </c>
      <c r="AV19" s="184">
        <v>0</v>
      </c>
      <c r="AW19" s="167">
        <f>'Factor D Back Up'!D212</f>
        <v>1</v>
      </c>
      <c r="AX19" s="167">
        <f>'Factor D Back Up'!E212</f>
        <v>1</v>
      </c>
      <c r="AY19" s="167">
        <f>'Factor D Back Up'!F212</f>
        <v>1</v>
      </c>
      <c r="AZ19" s="402">
        <f>'Factor D Back Up'!G212</f>
        <v>120</v>
      </c>
      <c r="BA19" s="184">
        <f>'Factor D Back Up'!H212</f>
        <v>120</v>
      </c>
      <c r="BB19" s="167">
        <f>'Factor D Back Up'!D213</f>
        <v>1</v>
      </c>
      <c r="BC19" s="167">
        <f>'Factor D Back Up'!E213</f>
        <v>1</v>
      </c>
      <c r="BD19" s="167">
        <f>'Factor D Back Up'!F213</f>
        <v>1</v>
      </c>
      <c r="BE19" s="402">
        <f>'Factor D Back Up'!G213</f>
        <v>123.12</v>
      </c>
      <c r="BF19" s="184">
        <f>'Factor D Back Up'!H213</f>
        <v>123.12</v>
      </c>
      <c r="BG19" s="167">
        <f>'Factor D Back Up'!D214</f>
        <v>2</v>
      </c>
      <c r="BH19" s="167">
        <f>'Factor D Back Up'!E214</f>
        <v>1</v>
      </c>
      <c r="BI19" s="167">
        <f>'Factor D Back Up'!F214</f>
        <v>2</v>
      </c>
      <c r="BJ19" s="184">
        <f>'Factor D Back Up'!G214</f>
        <v>126.32112000000001</v>
      </c>
      <c r="BK19" s="184">
        <f>'Factor D Back Up'!H214</f>
        <v>252.64224000000002</v>
      </c>
      <c r="BL19" s="167">
        <f>'Factor D Back Up'!D215</f>
        <v>3</v>
      </c>
      <c r="BM19" s="167">
        <f>'Factor D Back Up'!E215</f>
        <v>1</v>
      </c>
      <c r="BN19" s="167">
        <f>'Factor D Back Up'!F215</f>
        <v>3</v>
      </c>
      <c r="BO19" s="184">
        <f>'Factor D Back Up'!G215</f>
        <v>129.60546912000001</v>
      </c>
      <c r="BP19" s="184">
        <f>'Factor D Back Up'!H215</f>
        <v>388.81640736000003</v>
      </c>
      <c r="BQ19" s="167">
        <f>'Factor D Back Up'!D216</f>
        <v>4</v>
      </c>
      <c r="BR19" s="167">
        <f>'Factor D Back Up'!E216</f>
        <v>1</v>
      </c>
      <c r="BS19" s="167">
        <f>'Factor D Back Up'!F216</f>
        <v>4</v>
      </c>
      <c r="BT19" s="184">
        <f>'Factor D Back Up'!G216</f>
        <v>132.97521131712</v>
      </c>
      <c r="BU19" s="184">
        <f>'Factor D Back Up'!H216</f>
        <v>531.90084526848</v>
      </c>
      <c r="BV19" s="167">
        <f>'Factor D Back Up'!D217</f>
        <v>5</v>
      </c>
      <c r="BW19" s="167">
        <f>'Factor D Back Up'!E217</f>
        <v>1</v>
      </c>
      <c r="BX19" s="167">
        <f>'Factor D Back Up'!F217</f>
        <v>5</v>
      </c>
      <c r="BY19" s="184">
        <f>'Factor D Back Up'!G217</f>
        <v>136.43256681136512</v>
      </c>
      <c r="BZ19" s="184">
        <f>'Factor D Back Up'!H217</f>
        <v>682.16283405682566</v>
      </c>
      <c r="CB19" s="187"/>
      <c r="CC19" s="187"/>
      <c r="CD19" s="281"/>
      <c r="CF19" s="576">
        <f t="shared" si="16"/>
        <v>2098.6423266853058</v>
      </c>
    </row>
    <row r="20" spans="1:84" ht="15" customHeight="1" x14ac:dyDescent="0.25">
      <c r="A20" s="80" t="s">
        <v>366</v>
      </c>
      <c r="B20" s="165" t="s">
        <v>184</v>
      </c>
      <c r="C20" s="590" t="s">
        <v>152</v>
      </c>
      <c r="D20" s="167">
        <v>13</v>
      </c>
      <c r="E20" s="167">
        <f>F20/D20</f>
        <v>64.15384615384616</v>
      </c>
      <c r="F20" s="167">
        <v>834</v>
      </c>
      <c r="G20" s="184">
        <f>H20/F20</f>
        <v>65</v>
      </c>
      <c r="H20" s="184">
        <v>54210</v>
      </c>
      <c r="I20" s="167">
        <v>6</v>
      </c>
      <c r="J20" s="167">
        <f>K20/I20</f>
        <v>5.5</v>
      </c>
      <c r="K20" s="167">
        <v>33</v>
      </c>
      <c r="L20" s="184">
        <f>M20/K20</f>
        <v>63.522727272727273</v>
      </c>
      <c r="M20" s="184">
        <v>2096.25</v>
      </c>
      <c r="N20" s="167">
        <v>32</v>
      </c>
      <c r="O20" s="167">
        <f>P20/N20</f>
        <v>11.34375</v>
      </c>
      <c r="P20" s="167">
        <v>363</v>
      </c>
      <c r="Q20" s="184">
        <f>R20/P20</f>
        <v>65</v>
      </c>
      <c r="R20" s="184">
        <v>23595</v>
      </c>
      <c r="S20" s="167">
        <v>12</v>
      </c>
      <c r="T20" s="167">
        <f t="shared" si="4"/>
        <v>16</v>
      </c>
      <c r="U20" s="167">
        <v>192</v>
      </c>
      <c r="V20" s="184">
        <f t="shared" si="0"/>
        <v>65</v>
      </c>
      <c r="W20" s="184">
        <v>12480</v>
      </c>
      <c r="X20" s="167">
        <v>0</v>
      </c>
      <c r="Y20" s="167" t="e">
        <f t="shared" si="5"/>
        <v>#DIV/0!</v>
      </c>
      <c r="Z20" s="167">
        <v>0</v>
      </c>
      <c r="AA20" s="184" t="e">
        <f t="shared" si="6"/>
        <v>#DIV/0!</v>
      </c>
      <c r="AB20" s="184">
        <v>0</v>
      </c>
      <c r="AC20" s="167">
        <v>0</v>
      </c>
      <c r="AD20" s="167" t="e">
        <f t="shared" si="7"/>
        <v>#DIV/0!</v>
      </c>
      <c r="AE20" s="167">
        <v>0</v>
      </c>
      <c r="AF20" s="184" t="e">
        <f t="shared" si="8"/>
        <v>#DIV/0!</v>
      </c>
      <c r="AG20" s="184">
        <v>0</v>
      </c>
      <c r="AH20" s="167">
        <v>0</v>
      </c>
      <c r="AI20" s="167" t="e">
        <f t="shared" si="9"/>
        <v>#DIV/0!</v>
      </c>
      <c r="AJ20" s="167">
        <v>0</v>
      </c>
      <c r="AK20" s="184" t="e">
        <f t="shared" si="1"/>
        <v>#DIV/0!</v>
      </c>
      <c r="AL20" s="184">
        <v>0</v>
      </c>
      <c r="AM20" s="167">
        <v>0</v>
      </c>
      <c r="AN20" s="167" t="e">
        <f t="shared" si="10"/>
        <v>#DIV/0!</v>
      </c>
      <c r="AO20" s="167">
        <v>0</v>
      </c>
      <c r="AP20" s="184" t="e">
        <f t="shared" si="11"/>
        <v>#DIV/0!</v>
      </c>
      <c r="AQ20" s="184">
        <v>0</v>
      </c>
      <c r="AR20" s="167">
        <v>0</v>
      </c>
      <c r="AS20" s="167" t="e">
        <f t="shared" si="12"/>
        <v>#DIV/0!</v>
      </c>
      <c r="AT20" s="167">
        <v>0</v>
      </c>
      <c r="AU20" s="184" t="e">
        <f t="shared" si="13"/>
        <v>#DIV/0!</v>
      </c>
      <c r="AV20" s="184">
        <v>0</v>
      </c>
      <c r="AW20" s="167">
        <f>'Factor D Back Up'!D230</f>
        <v>1</v>
      </c>
      <c r="AX20" s="167">
        <f>'Factor D Back Up'!E230</f>
        <v>23.976597633499615</v>
      </c>
      <c r="AY20" s="167">
        <f>'Factor D Back Up'!F230</f>
        <v>23.976597633499615</v>
      </c>
      <c r="AZ20" s="184">
        <f>'Factor D Back Up'!G230</f>
        <v>16.25</v>
      </c>
      <c r="BA20" s="184">
        <f>'Factor D Back Up'!H230</f>
        <v>389.61971154436873</v>
      </c>
      <c r="BB20" s="167">
        <f>'Factor D Back Up'!D231</f>
        <v>1</v>
      </c>
      <c r="BC20" s="167">
        <f>'Factor D Back Up'!E231</f>
        <v>26.743051630501562</v>
      </c>
      <c r="BD20" s="167">
        <f>'Factor D Back Up'!F231</f>
        <v>26.743051630501562</v>
      </c>
      <c r="BE20" s="184">
        <f>'Factor D Back Up'!G231</f>
        <v>16.672499999999999</v>
      </c>
      <c r="BF20" s="184">
        <f>'Factor D Back Up'!H231</f>
        <v>445.87352830953728</v>
      </c>
      <c r="BG20" s="167">
        <f>'Factor D Back Up'!D232</f>
        <v>3</v>
      </c>
      <c r="BH20" s="167">
        <f>'Factor D Back Up'!E232</f>
        <v>28.71909019978866</v>
      </c>
      <c r="BI20" s="167">
        <f>'Factor D Back Up'!F232</f>
        <v>86.157270599365972</v>
      </c>
      <c r="BJ20" s="184">
        <f>'Factor D Back Up'!G232</f>
        <v>17.105985</v>
      </c>
      <c r="BK20" s="184">
        <f>'Factor D Back Up'!H232</f>
        <v>1473.8049785136955</v>
      </c>
      <c r="BL20" s="167">
        <f>'Factor D Back Up'!D233</f>
        <v>4</v>
      </c>
      <c r="BM20" s="167">
        <f>'Factor D Back Up'!E233</f>
        <v>29.90471334136091</v>
      </c>
      <c r="BN20" s="167">
        <f>'Factor D Back Up'!F233</f>
        <v>119.61885336544364</v>
      </c>
      <c r="BO20" s="184">
        <f>'Factor D Back Up'!G233</f>
        <v>17.550740610000002</v>
      </c>
      <c r="BP20" s="184">
        <f>'Factor D Back Up'!H233</f>
        <v>2099.3994674825271</v>
      </c>
      <c r="BQ20" s="167">
        <f>'Factor D Back Up'!D234</f>
        <v>6</v>
      </c>
      <c r="BR20" s="167">
        <f>'Factor D Back Up'!E234</f>
        <v>31.090336482933175</v>
      </c>
      <c r="BS20" s="167">
        <f>'Factor D Back Up'!F234</f>
        <v>186.54201889759906</v>
      </c>
      <c r="BT20" s="184">
        <f>'Factor D Back Up'!G234</f>
        <v>18.007059865860001</v>
      </c>
      <c r="BU20" s="184">
        <f>'Factor D Back Up'!H234</f>
        <v>3359.0733017874541</v>
      </c>
      <c r="BV20" s="167">
        <f>'Factor D Back Up'!D235</f>
        <v>6</v>
      </c>
      <c r="BW20" s="167">
        <f>'Factor D Back Up'!E235</f>
        <v>32.27595962450544</v>
      </c>
      <c r="BX20" s="167">
        <f>'Factor D Back Up'!F235</f>
        <v>193.65575774703262</v>
      </c>
      <c r="BY20" s="184">
        <f>'Factor D Back Up'!G235</f>
        <v>18.475243422372362</v>
      </c>
      <c r="BZ20" s="184">
        <f>'Factor D Back Up'!H235</f>
        <v>3577.8372645203999</v>
      </c>
      <c r="CB20" s="187">
        <f t="shared" si="14"/>
        <v>23825.608252157981</v>
      </c>
      <c r="CC20" s="187">
        <f>+'linked - DO NOT USE or DELETE'!H17+'linked - DO NOT USE or DELETE'!M17+'linked - DO NOT USE or DELETE'!R17</f>
        <v>79901.25</v>
      </c>
      <c r="CD20" s="281">
        <f t="shared" si="15"/>
        <v>103726.85825215798</v>
      </c>
      <c r="CF20" s="576">
        <f t="shared" si="16"/>
        <v>103726.85825215798</v>
      </c>
    </row>
    <row r="21" spans="1:84" ht="15" customHeight="1" x14ac:dyDescent="0.25">
      <c r="A21" s="80" t="s">
        <v>363</v>
      </c>
      <c r="B21" s="165" t="s">
        <v>184</v>
      </c>
      <c r="C21" s="590" t="s">
        <v>152</v>
      </c>
      <c r="D21" s="167">
        <v>0</v>
      </c>
      <c r="E21" s="167" t="e">
        <f t="shared" ref="E21" si="45">F21/D21</f>
        <v>#DIV/0!</v>
      </c>
      <c r="F21" s="167">
        <v>0</v>
      </c>
      <c r="G21" s="184" t="e">
        <f t="shared" ref="G21" si="46">H21/F21</f>
        <v>#DIV/0!</v>
      </c>
      <c r="H21" s="184">
        <v>0</v>
      </c>
      <c r="I21" s="167">
        <v>0</v>
      </c>
      <c r="J21" s="167" t="e">
        <f t="shared" ref="J21:J22" si="47">K21/I21</f>
        <v>#DIV/0!</v>
      </c>
      <c r="K21" s="167">
        <v>0</v>
      </c>
      <c r="L21" s="184" t="e">
        <f t="shared" ref="L21:L22" si="48">M21/K21</f>
        <v>#DIV/0!</v>
      </c>
      <c r="M21" s="184">
        <v>0</v>
      </c>
      <c r="N21" s="167">
        <v>3</v>
      </c>
      <c r="O21" s="167">
        <f>P21/N21</f>
        <v>4965.333333333333</v>
      </c>
      <c r="P21" s="167">
        <v>14896</v>
      </c>
      <c r="Q21" s="184">
        <f>R21/P21</f>
        <v>7</v>
      </c>
      <c r="R21" s="184">
        <v>104272</v>
      </c>
      <c r="S21" s="167">
        <v>3</v>
      </c>
      <c r="T21" s="167">
        <f t="shared" si="4"/>
        <v>2085.3333333333335</v>
      </c>
      <c r="U21" s="167">
        <v>6256</v>
      </c>
      <c r="V21" s="184">
        <f t="shared" si="0"/>
        <v>7</v>
      </c>
      <c r="W21" s="184">
        <v>43792</v>
      </c>
      <c r="X21" s="167">
        <v>0</v>
      </c>
      <c r="Y21" s="167" t="e">
        <f t="shared" si="5"/>
        <v>#DIV/0!</v>
      </c>
      <c r="Z21" s="167">
        <v>0</v>
      </c>
      <c r="AA21" s="184" t="e">
        <f t="shared" si="6"/>
        <v>#DIV/0!</v>
      </c>
      <c r="AB21" s="184">
        <v>0</v>
      </c>
      <c r="AC21" s="167">
        <v>0</v>
      </c>
      <c r="AD21" s="167" t="e">
        <f t="shared" si="7"/>
        <v>#DIV/0!</v>
      </c>
      <c r="AE21" s="167">
        <v>0</v>
      </c>
      <c r="AF21" s="184" t="e">
        <f t="shared" si="8"/>
        <v>#DIV/0!</v>
      </c>
      <c r="AG21" s="184">
        <v>0</v>
      </c>
      <c r="AH21" s="167">
        <v>0</v>
      </c>
      <c r="AI21" s="167" t="e">
        <f t="shared" si="9"/>
        <v>#DIV/0!</v>
      </c>
      <c r="AJ21" s="167">
        <v>0</v>
      </c>
      <c r="AK21" s="184" t="e">
        <f t="shared" si="1"/>
        <v>#DIV/0!</v>
      </c>
      <c r="AL21" s="184">
        <v>0</v>
      </c>
      <c r="AM21" s="167">
        <v>0</v>
      </c>
      <c r="AN21" s="167" t="e">
        <f t="shared" si="10"/>
        <v>#DIV/0!</v>
      </c>
      <c r="AO21" s="167">
        <v>0</v>
      </c>
      <c r="AP21" s="184" t="e">
        <f t="shared" si="11"/>
        <v>#DIV/0!</v>
      </c>
      <c r="AQ21" s="184">
        <v>0</v>
      </c>
      <c r="AR21" s="167">
        <v>3</v>
      </c>
      <c r="AS21" s="167">
        <f t="shared" si="12"/>
        <v>3524</v>
      </c>
      <c r="AT21" s="167">
        <v>10572</v>
      </c>
      <c r="AU21" s="184">
        <f t="shared" si="13"/>
        <v>14.999545970488082</v>
      </c>
      <c r="AV21" s="184">
        <v>158575.20000000001</v>
      </c>
      <c r="AW21" s="167">
        <f>'Factor D Back Up'!D248</f>
        <v>3</v>
      </c>
      <c r="AX21" s="167">
        <f>'Factor D Back Up'!E248</f>
        <v>1348.2962962962958</v>
      </c>
      <c r="AY21" s="167">
        <f>'Factor D Back Up'!F248</f>
        <v>4044.8888888888878</v>
      </c>
      <c r="AZ21" s="184">
        <f>'Factor D Back Up'!G248</f>
        <v>15</v>
      </c>
      <c r="BA21" s="184">
        <f>'Factor D Back Up'!H248</f>
        <v>60673.333333333314</v>
      </c>
      <c r="BB21" s="167">
        <f>'Factor D Back Up'!D249</f>
        <v>3</v>
      </c>
      <c r="BC21" s="167">
        <f>'Factor D Back Up'!E249</f>
        <v>1382.9629629629626</v>
      </c>
      <c r="BD21" s="167">
        <f>'Factor D Back Up'!F249</f>
        <v>4148.8888888888878</v>
      </c>
      <c r="BE21" s="184">
        <f>'Factor D Back Up'!G249</f>
        <v>15.39</v>
      </c>
      <c r="BF21" s="184">
        <f>'Factor D Back Up'!H249</f>
        <v>63851.399999999987</v>
      </c>
      <c r="BG21" s="167">
        <f>'Factor D Back Up'!D250</f>
        <v>9</v>
      </c>
      <c r="BH21" s="167">
        <f>'Factor D Back Up'!E250</f>
        <v>1417.6296296296291</v>
      </c>
      <c r="BI21" s="167">
        <f>'Factor D Back Up'!F250</f>
        <v>12758.666666666662</v>
      </c>
      <c r="BJ21" s="184">
        <f>'Factor D Back Up'!G250</f>
        <v>15.790140000000001</v>
      </c>
      <c r="BK21" s="184">
        <f>'Factor D Back Up'!H250</f>
        <v>201461.13287999993</v>
      </c>
      <c r="BL21" s="167">
        <f>'Factor D Back Up'!D251</f>
        <v>12</v>
      </c>
      <c r="BM21" s="167">
        <f>'Factor D Back Up'!E251</f>
        <v>1452.2962962962956</v>
      </c>
      <c r="BN21" s="167">
        <f>'Factor D Back Up'!F251</f>
        <v>17427.555555555547</v>
      </c>
      <c r="BO21" s="184">
        <f>'Factor D Back Up'!G251</f>
        <v>16.200683640000001</v>
      </c>
      <c r="BP21" s="184">
        <f>'Factor D Back Up'!H251</f>
        <v>282338.31417407992</v>
      </c>
      <c r="BQ21" s="167">
        <f>'Factor D Back Up'!D252</f>
        <v>24</v>
      </c>
      <c r="BR21" s="167">
        <f>'Factor D Back Up'!E252</f>
        <v>1486.9629629629624</v>
      </c>
      <c r="BS21" s="167">
        <f>'Factor D Back Up'!F252</f>
        <v>35687.111111111095</v>
      </c>
      <c r="BT21" s="184">
        <f>'Factor D Back Up'!G252</f>
        <v>16.62190141464</v>
      </c>
      <c r="BU21" s="184">
        <f>'Factor D Back Up'!H252</f>
        <v>593187.64266219235</v>
      </c>
      <c r="BV21" s="167">
        <f>'Factor D Back Up'!D253</f>
        <v>24</v>
      </c>
      <c r="BW21" s="167">
        <f>'Factor D Back Up'!E253</f>
        <v>1521.6296296296291</v>
      </c>
      <c r="BX21" s="167">
        <f>'Factor D Back Up'!F253</f>
        <v>36519.111111111095</v>
      </c>
      <c r="BY21" s="184">
        <f>'Factor D Back Up'!G253</f>
        <v>17.05407085142064</v>
      </c>
      <c r="BZ21" s="184">
        <f>'Factor D Back Up'!H253</f>
        <v>622799.50831979129</v>
      </c>
      <c r="CB21" s="187">
        <f t="shared" si="14"/>
        <v>2026678.5313693965</v>
      </c>
      <c r="CC21" s="187">
        <f>+'linked - DO NOT USE or DELETE'!H18+'linked - DO NOT USE or DELETE'!M18+'linked - DO NOT USE or DELETE'!R18</f>
        <v>104272</v>
      </c>
      <c r="CD21" s="281">
        <f t="shared" si="15"/>
        <v>2130950.5313693965</v>
      </c>
      <c r="CF21" s="576">
        <f t="shared" si="16"/>
        <v>2130950.531369397</v>
      </c>
    </row>
    <row r="22" spans="1:84" ht="15" customHeight="1" x14ac:dyDescent="0.25">
      <c r="A22" s="80" t="s">
        <v>364</v>
      </c>
      <c r="B22" s="165" t="s">
        <v>184</v>
      </c>
      <c r="C22" s="590" t="s">
        <v>152</v>
      </c>
      <c r="D22" s="167">
        <v>1</v>
      </c>
      <c r="E22" s="167">
        <f>F22/D22</f>
        <v>2020</v>
      </c>
      <c r="F22" s="167">
        <v>2020</v>
      </c>
      <c r="G22" s="184">
        <f>H22/F22</f>
        <v>19.821782178217823</v>
      </c>
      <c r="H22" s="184">
        <v>40040</v>
      </c>
      <c r="I22" s="167">
        <v>0</v>
      </c>
      <c r="J22" s="167" t="e">
        <f t="shared" si="47"/>
        <v>#DIV/0!</v>
      </c>
      <c r="K22" s="167">
        <v>0</v>
      </c>
      <c r="L22" s="184" t="e">
        <f t="shared" si="48"/>
        <v>#DIV/0!</v>
      </c>
      <c r="M22" s="184">
        <v>0</v>
      </c>
      <c r="N22" s="167">
        <v>0</v>
      </c>
      <c r="O22" s="167" t="e">
        <f t="shared" ref="O22" si="49">P22/N22</f>
        <v>#DIV/0!</v>
      </c>
      <c r="P22" s="167">
        <v>0</v>
      </c>
      <c r="Q22" s="184" t="e">
        <f t="shared" ref="Q22" si="50">R22/P22</f>
        <v>#DIV/0!</v>
      </c>
      <c r="R22" s="184">
        <v>0</v>
      </c>
      <c r="S22" s="167">
        <v>2</v>
      </c>
      <c r="T22" s="167">
        <f t="shared" si="4"/>
        <v>3412</v>
      </c>
      <c r="U22" s="167">
        <v>6824</v>
      </c>
      <c r="V22" s="184">
        <f t="shared" si="0"/>
        <v>5</v>
      </c>
      <c r="W22" s="184">
        <v>34120</v>
      </c>
      <c r="X22" s="167">
        <v>0</v>
      </c>
      <c r="Y22" s="167" t="e">
        <f t="shared" si="5"/>
        <v>#DIV/0!</v>
      </c>
      <c r="Z22" s="167">
        <v>0</v>
      </c>
      <c r="AA22" s="184" t="e">
        <f t="shared" si="6"/>
        <v>#DIV/0!</v>
      </c>
      <c r="AB22" s="184">
        <v>0</v>
      </c>
      <c r="AC22" s="167">
        <v>0</v>
      </c>
      <c r="AD22" s="167" t="e">
        <f t="shared" si="7"/>
        <v>#DIV/0!</v>
      </c>
      <c r="AE22" s="167">
        <v>0</v>
      </c>
      <c r="AF22" s="184" t="e">
        <f t="shared" si="8"/>
        <v>#DIV/0!</v>
      </c>
      <c r="AG22" s="184">
        <v>0</v>
      </c>
      <c r="AH22" s="167">
        <v>0</v>
      </c>
      <c r="AI22" s="167" t="e">
        <f t="shared" si="9"/>
        <v>#DIV/0!</v>
      </c>
      <c r="AJ22" s="167">
        <v>0</v>
      </c>
      <c r="AK22" s="184" t="e">
        <f t="shared" si="1"/>
        <v>#DIV/0!</v>
      </c>
      <c r="AL22" s="184">
        <v>0</v>
      </c>
      <c r="AM22" s="167">
        <v>0</v>
      </c>
      <c r="AN22" s="167" t="e">
        <f t="shared" si="10"/>
        <v>#DIV/0!</v>
      </c>
      <c r="AO22" s="167">
        <v>0</v>
      </c>
      <c r="AP22" s="184" t="e">
        <f t="shared" si="11"/>
        <v>#DIV/0!</v>
      </c>
      <c r="AQ22" s="184">
        <v>0</v>
      </c>
      <c r="AR22" s="167">
        <v>7</v>
      </c>
      <c r="AS22" s="167">
        <f t="shared" si="12"/>
        <v>6212.4285714285716</v>
      </c>
      <c r="AT22" s="167">
        <v>43487</v>
      </c>
      <c r="AU22" s="184">
        <f t="shared" si="13"/>
        <v>12.499241152528342</v>
      </c>
      <c r="AV22" s="184">
        <v>543554.5</v>
      </c>
      <c r="AW22" s="167">
        <f>'Factor D Back Up'!D266</f>
        <v>7</v>
      </c>
      <c r="AX22" s="167">
        <f>'Factor D Back Up'!E266</f>
        <v>2406.9682539682535</v>
      </c>
      <c r="AY22" s="167">
        <f>'Factor D Back Up'!F266</f>
        <v>16848.777777777774</v>
      </c>
      <c r="AZ22" s="184">
        <f>'Factor D Back Up'!G266</f>
        <v>12.5</v>
      </c>
      <c r="BA22" s="184">
        <f>'Factor D Back Up'!H266</f>
        <v>210609.72222222216</v>
      </c>
      <c r="BB22" s="167">
        <f>'Factor D Back Up'!D267</f>
        <v>9</v>
      </c>
      <c r="BC22" s="167">
        <f>'Factor D Back Up'!E267</f>
        <v>2629.5968253968249</v>
      </c>
      <c r="BD22" s="167">
        <f>'Factor D Back Up'!F267</f>
        <v>23666.371428571423</v>
      </c>
      <c r="BE22" s="184">
        <f>'Factor D Back Up'!G267</f>
        <v>12.824999999999999</v>
      </c>
      <c r="BF22" s="184">
        <f>'Factor D Back Up'!H267</f>
        <v>303521.2135714285</v>
      </c>
      <c r="BG22" s="167">
        <f>'Factor D Back Up'!D268</f>
        <v>10</v>
      </c>
      <c r="BH22" s="167">
        <f>'Factor D Back Up'!E268</f>
        <v>2852.2253968253958</v>
      </c>
      <c r="BI22" s="167">
        <f>'Factor D Back Up'!F268</f>
        <v>28522.253968253957</v>
      </c>
      <c r="BJ22" s="184">
        <f>'Factor D Back Up'!G268</f>
        <v>13.158449999999998</v>
      </c>
      <c r="BK22" s="184">
        <f>'Factor D Back Up'!H268</f>
        <v>375308.65272857127</v>
      </c>
      <c r="BL22" s="167">
        <f>'Factor D Back Up'!D269</f>
        <v>13</v>
      </c>
      <c r="BM22" s="167">
        <f>'Factor D Back Up'!E269</f>
        <v>3074.8539682539672</v>
      </c>
      <c r="BN22" s="167">
        <f>'Factor D Back Up'!F269</f>
        <v>39973.101587301571</v>
      </c>
      <c r="BO22" s="184">
        <f>'Factor D Back Up'!G269</f>
        <v>13.500569699999998</v>
      </c>
      <c r="BP22" s="184">
        <f>'Factor D Back Up'!H269</f>
        <v>539659.64410454547</v>
      </c>
      <c r="BQ22" s="167">
        <f>'Factor D Back Up'!D270</f>
        <v>14</v>
      </c>
      <c r="BR22" s="167">
        <f>'Factor D Back Up'!E270</f>
        <v>3297.4825396825386</v>
      </c>
      <c r="BS22" s="167">
        <f>'Factor D Back Up'!F270</f>
        <v>46164.755555555537</v>
      </c>
      <c r="BT22" s="184">
        <f>'Factor D Back Up'!G270</f>
        <v>13.851584512199999</v>
      </c>
      <c r="BU22" s="184">
        <f>'Factor D Back Up'!H270</f>
        <v>639455.01306283195</v>
      </c>
      <c r="BV22" s="167">
        <f>'Factor D Back Up'!D271</f>
        <v>16</v>
      </c>
      <c r="BW22" s="167">
        <f>'Factor D Back Up'!E271</f>
        <v>3520.1111111111099</v>
      </c>
      <c r="BX22" s="167">
        <f>'Factor D Back Up'!F271</f>
        <v>56321.777777777759</v>
      </c>
      <c r="BY22" s="184">
        <f>'Factor D Back Up'!G271</f>
        <v>14.211725709517198</v>
      </c>
      <c r="BZ22" s="184">
        <f>'Factor D Back Up'!H271</f>
        <v>800429.65725015861</v>
      </c>
      <c r="CB22" s="187">
        <f t="shared" si="14"/>
        <v>3446658.4029397573</v>
      </c>
      <c r="CC22" s="187">
        <f>+'linked - DO NOT USE or DELETE'!H19+'linked - DO NOT USE or DELETE'!M19+'linked - DO NOT USE or DELETE'!R19</f>
        <v>40040</v>
      </c>
      <c r="CD22" s="281">
        <f t="shared" si="15"/>
        <v>3486698.4029397573</v>
      </c>
      <c r="CF22" s="576">
        <f t="shared" si="16"/>
        <v>3486698.4029397578</v>
      </c>
    </row>
    <row r="23" spans="1:84" ht="15" customHeight="1" x14ac:dyDescent="0.25">
      <c r="A23" s="81" t="s">
        <v>339</v>
      </c>
      <c r="B23" s="165" t="s">
        <v>202</v>
      </c>
      <c r="C23" s="590" t="s">
        <v>41</v>
      </c>
      <c r="D23" s="167">
        <v>0</v>
      </c>
      <c r="E23" s="167" t="e">
        <f t="shared" ref="E23:E24" si="51">F23/D23</f>
        <v>#DIV/0!</v>
      </c>
      <c r="F23" s="167">
        <v>0</v>
      </c>
      <c r="G23" s="184" t="e">
        <f t="shared" ref="G23:G24" si="52">H23/F23</f>
        <v>#DIV/0!</v>
      </c>
      <c r="H23" s="184">
        <v>0</v>
      </c>
      <c r="I23" s="167">
        <v>25</v>
      </c>
      <c r="J23" s="167">
        <f t="shared" ref="J23:J32" si="53">K23/I23</f>
        <v>62.56</v>
      </c>
      <c r="K23" s="167">
        <v>1564</v>
      </c>
      <c r="L23" s="184">
        <f t="shared" ref="L23:L32" si="54">M23/K23</f>
        <v>11.25</v>
      </c>
      <c r="M23" s="184">
        <v>17595</v>
      </c>
      <c r="N23" s="167">
        <v>44</v>
      </c>
      <c r="O23" s="167">
        <f t="shared" ref="O23:O32" si="55">P23/N23</f>
        <v>89.590909090909093</v>
      </c>
      <c r="P23" s="167">
        <v>3942</v>
      </c>
      <c r="Q23" s="184">
        <f t="shared" ref="Q23:Q32" si="56">R23/P23</f>
        <v>11.25</v>
      </c>
      <c r="R23" s="184">
        <v>44347.5</v>
      </c>
      <c r="S23" s="167">
        <v>0</v>
      </c>
      <c r="T23" s="167" t="e">
        <f t="shared" si="4"/>
        <v>#DIV/0!</v>
      </c>
      <c r="U23" s="167">
        <v>0</v>
      </c>
      <c r="V23" s="184" t="e">
        <f t="shared" si="0"/>
        <v>#DIV/0!</v>
      </c>
      <c r="W23" s="184">
        <v>0</v>
      </c>
      <c r="X23" s="167">
        <v>0</v>
      </c>
      <c r="Y23" s="167" t="e">
        <f t="shared" si="5"/>
        <v>#DIV/0!</v>
      </c>
      <c r="Z23" s="167">
        <v>0</v>
      </c>
      <c r="AA23" s="184" t="e">
        <f t="shared" si="6"/>
        <v>#DIV/0!</v>
      </c>
      <c r="AB23" s="184">
        <v>0</v>
      </c>
      <c r="AC23" s="167">
        <v>0</v>
      </c>
      <c r="AD23" s="167" t="e">
        <f t="shared" si="7"/>
        <v>#DIV/0!</v>
      </c>
      <c r="AE23" s="167">
        <v>0</v>
      </c>
      <c r="AF23" s="184" t="e">
        <f t="shared" si="8"/>
        <v>#DIV/0!</v>
      </c>
      <c r="AG23" s="184">
        <v>0</v>
      </c>
      <c r="AH23" s="167">
        <v>0</v>
      </c>
      <c r="AI23" s="167" t="e">
        <f t="shared" si="9"/>
        <v>#DIV/0!</v>
      </c>
      <c r="AJ23" s="167">
        <v>0</v>
      </c>
      <c r="AK23" s="184" t="e">
        <f t="shared" si="1"/>
        <v>#DIV/0!</v>
      </c>
      <c r="AL23" s="184">
        <v>0</v>
      </c>
      <c r="AM23" s="167">
        <v>0</v>
      </c>
      <c r="AN23" s="167" t="e">
        <f t="shared" si="10"/>
        <v>#DIV/0!</v>
      </c>
      <c r="AO23" s="167">
        <v>0</v>
      </c>
      <c r="AP23" s="184" t="e">
        <f t="shared" si="11"/>
        <v>#DIV/0!</v>
      </c>
      <c r="AQ23" s="184">
        <v>0</v>
      </c>
      <c r="AR23" s="167">
        <v>0</v>
      </c>
      <c r="AS23" s="167" t="e">
        <f t="shared" si="12"/>
        <v>#DIV/0!</v>
      </c>
      <c r="AT23" s="167">
        <v>0</v>
      </c>
      <c r="AU23" s="184" t="e">
        <f t="shared" si="13"/>
        <v>#DIV/0!</v>
      </c>
      <c r="AV23" s="184">
        <v>0</v>
      </c>
      <c r="AW23" s="167">
        <f>'Factor D Back Up'!D320</f>
        <v>39</v>
      </c>
      <c r="AX23" s="167">
        <f>'Factor D Back Up'!E320</f>
        <v>134</v>
      </c>
      <c r="AY23" s="167">
        <f>'Factor D Back Up'!F320</f>
        <v>5226</v>
      </c>
      <c r="AZ23" s="184">
        <f>'Factor D Back Up'!G320</f>
        <v>75.77</v>
      </c>
      <c r="BA23" s="184">
        <f>'Factor D Back Up'!H320</f>
        <v>395974.01999999996</v>
      </c>
      <c r="BB23" s="167">
        <f>'Factor D Back Up'!D321</f>
        <v>41</v>
      </c>
      <c r="BC23" s="167">
        <f>'Factor D Back Up'!E321</f>
        <v>146</v>
      </c>
      <c r="BD23" s="167">
        <f>'Factor D Back Up'!F321</f>
        <v>5986</v>
      </c>
      <c r="BE23" s="184">
        <f>'Factor D Back Up'!G321</f>
        <v>77.740020000000001</v>
      </c>
      <c r="BF23" s="184">
        <f>'Factor D Back Up'!H321</f>
        <v>465351.75972000003</v>
      </c>
      <c r="BG23" s="167">
        <f>'Factor D Back Up'!D322</f>
        <v>42</v>
      </c>
      <c r="BH23" s="167">
        <f>'Factor D Back Up'!E322</f>
        <v>158</v>
      </c>
      <c r="BI23" s="167">
        <f>'Factor D Back Up'!F322</f>
        <v>6636</v>
      </c>
      <c r="BJ23" s="184">
        <f>'Factor D Back Up'!G322</f>
        <v>79.761260520000008</v>
      </c>
      <c r="BK23" s="184">
        <f>'Factor D Back Up'!H322</f>
        <v>529295.72481072007</v>
      </c>
      <c r="BL23" s="167">
        <f>'Factor D Back Up'!D323</f>
        <v>43</v>
      </c>
      <c r="BM23" s="167">
        <f>'Factor D Back Up'!E323</f>
        <v>170</v>
      </c>
      <c r="BN23" s="167">
        <f>'Factor D Back Up'!F323</f>
        <v>7310</v>
      </c>
      <c r="BO23" s="184">
        <f>'Factor D Back Up'!G323</f>
        <v>81.835053293520005</v>
      </c>
      <c r="BP23" s="184">
        <f>'Factor D Back Up'!H323</f>
        <v>598214.23957563122</v>
      </c>
      <c r="BQ23" s="167">
        <f>'Factor D Back Up'!D324</f>
        <v>44</v>
      </c>
      <c r="BR23" s="167">
        <f>'Factor D Back Up'!E324</f>
        <v>181</v>
      </c>
      <c r="BS23" s="167">
        <f>'Factor D Back Up'!F324</f>
        <v>7964</v>
      </c>
      <c r="BT23" s="184">
        <f>'Factor D Back Up'!G324</f>
        <v>83.962764679151519</v>
      </c>
      <c r="BU23" s="184">
        <f>'Factor D Back Up'!H324</f>
        <v>668679.4579047627</v>
      </c>
      <c r="BV23" s="167">
        <f>'Factor D Back Up'!D325</f>
        <v>45</v>
      </c>
      <c r="BW23" s="167">
        <f>'Factor D Back Up'!E325</f>
        <v>193</v>
      </c>
      <c r="BX23" s="167">
        <f>'Factor D Back Up'!F325</f>
        <v>8685</v>
      </c>
      <c r="BY23" s="184">
        <f>'Factor D Back Up'!G325</f>
        <v>86.145796560809458</v>
      </c>
      <c r="BZ23" s="184">
        <f>'Factor D Back Up'!H325</f>
        <v>748176.24313063012</v>
      </c>
      <c r="CB23" s="187">
        <f t="shared" si="14"/>
        <v>3405691.4451417443</v>
      </c>
      <c r="CC23" s="284">
        <f>+'linked - DO NOT USE or DELETE'!H22+'linked - DO NOT USE or DELETE'!M22+'linked - DO NOT USE or DELETE'!R22</f>
        <v>61942.5</v>
      </c>
      <c r="CD23" s="281">
        <f t="shared" si="15"/>
        <v>3467633.9451417443</v>
      </c>
      <c r="CF23" s="576">
        <f t="shared" si="16"/>
        <v>3467633.9451417439</v>
      </c>
    </row>
    <row r="24" spans="1:84" ht="15" customHeight="1" x14ac:dyDescent="0.25">
      <c r="A24" s="81" t="s">
        <v>351</v>
      </c>
      <c r="B24" s="165" t="s">
        <v>202</v>
      </c>
      <c r="C24" s="590" t="s">
        <v>41</v>
      </c>
      <c r="D24" s="167">
        <v>0</v>
      </c>
      <c r="E24" s="167" t="e">
        <f t="shared" si="51"/>
        <v>#DIV/0!</v>
      </c>
      <c r="F24" s="167">
        <v>0</v>
      </c>
      <c r="G24" s="184" t="e">
        <f t="shared" si="52"/>
        <v>#DIV/0!</v>
      </c>
      <c r="H24" s="184">
        <v>0</v>
      </c>
      <c r="I24" s="167">
        <v>12</v>
      </c>
      <c r="J24" s="167">
        <f t="shared" si="53"/>
        <v>53.833333333333336</v>
      </c>
      <c r="K24" s="167">
        <v>646</v>
      </c>
      <c r="L24" s="184">
        <f t="shared" si="54"/>
        <v>11.25</v>
      </c>
      <c r="M24" s="184">
        <v>7267.5</v>
      </c>
      <c r="N24" s="167">
        <v>27</v>
      </c>
      <c r="O24" s="167">
        <f t="shared" si="55"/>
        <v>75.037037037037038</v>
      </c>
      <c r="P24" s="167">
        <v>2026</v>
      </c>
      <c r="Q24" s="184">
        <f t="shared" si="56"/>
        <v>11.25</v>
      </c>
      <c r="R24" s="184">
        <v>22792.5</v>
      </c>
      <c r="S24" s="167">
        <v>54</v>
      </c>
      <c r="T24" s="167">
        <f t="shared" si="4"/>
        <v>50.962962962962962</v>
      </c>
      <c r="U24" s="167">
        <v>2752</v>
      </c>
      <c r="V24" s="184">
        <f t="shared" si="0"/>
        <v>11.25</v>
      </c>
      <c r="W24" s="184">
        <v>30960</v>
      </c>
      <c r="X24" s="167">
        <v>3</v>
      </c>
      <c r="Y24" s="167">
        <f t="shared" si="5"/>
        <v>44.666666666666664</v>
      </c>
      <c r="Z24" s="167">
        <v>134</v>
      </c>
      <c r="AA24" s="184">
        <f t="shared" si="6"/>
        <v>11.25</v>
      </c>
      <c r="AB24" s="184">
        <v>1507.5</v>
      </c>
      <c r="AC24" s="167">
        <v>23</v>
      </c>
      <c r="AD24" s="167">
        <f t="shared" si="7"/>
        <v>78.695652173913047</v>
      </c>
      <c r="AE24" s="167">
        <v>1810</v>
      </c>
      <c r="AF24" s="184">
        <f t="shared" si="8"/>
        <v>11.25</v>
      </c>
      <c r="AG24" s="184">
        <v>20362.5</v>
      </c>
      <c r="AH24" s="167">
        <v>47</v>
      </c>
      <c r="AI24" s="167">
        <f t="shared" si="9"/>
        <v>107.95744680851064</v>
      </c>
      <c r="AJ24" s="167">
        <v>5074</v>
      </c>
      <c r="AK24" s="184">
        <f t="shared" si="1"/>
        <v>11.209992116673236</v>
      </c>
      <c r="AL24" s="184">
        <v>56879.5</v>
      </c>
      <c r="AM24" s="167">
        <v>26</v>
      </c>
      <c r="AN24" s="167">
        <f t="shared" si="10"/>
        <v>193.84615384615384</v>
      </c>
      <c r="AO24" s="167">
        <v>5040</v>
      </c>
      <c r="AP24" s="184">
        <f t="shared" si="11"/>
        <v>11.241037698412699</v>
      </c>
      <c r="AQ24" s="184">
        <v>56654.83</v>
      </c>
      <c r="AR24" s="167">
        <v>29</v>
      </c>
      <c r="AS24" s="167">
        <f t="shared" si="12"/>
        <v>57.482758620689658</v>
      </c>
      <c r="AT24" s="167">
        <v>1667</v>
      </c>
      <c r="AU24" s="184">
        <f t="shared" si="13"/>
        <v>23.408206358728258</v>
      </c>
      <c r="AV24" s="184">
        <v>39021.480000000003</v>
      </c>
      <c r="AW24" s="167">
        <f>'Factor D Back Up'!D408</f>
        <v>0</v>
      </c>
      <c r="AX24" s="167">
        <f>'Factor D Back Up'!E408</f>
        <v>0</v>
      </c>
      <c r="AY24" s="167">
        <f>'Factor D Back Up'!F408</f>
        <v>0</v>
      </c>
      <c r="AZ24" s="184">
        <f>'Factor D Back Up'!G408</f>
        <v>0</v>
      </c>
      <c r="BA24" s="184">
        <f>'Factor D Back Up'!H408</f>
        <v>0</v>
      </c>
      <c r="BB24" s="175"/>
      <c r="BC24" s="175"/>
      <c r="BD24" s="175"/>
      <c r="BE24" s="185"/>
      <c r="BF24" s="185"/>
      <c r="BG24" s="175"/>
      <c r="BH24" s="175"/>
      <c r="BI24" s="175"/>
      <c r="BJ24" s="185"/>
      <c r="BK24" s="185"/>
      <c r="BL24" s="175"/>
      <c r="BM24" s="175"/>
      <c r="BN24" s="175"/>
      <c r="BO24" s="185"/>
      <c r="BP24" s="185"/>
      <c r="BQ24" s="175"/>
      <c r="BR24" s="175"/>
      <c r="BS24" s="175"/>
      <c r="BT24" s="185"/>
      <c r="BU24" s="185"/>
      <c r="BV24" s="175"/>
      <c r="BW24" s="175"/>
      <c r="BX24" s="175"/>
      <c r="BY24" s="185"/>
      <c r="BZ24" s="185"/>
      <c r="CB24" s="187">
        <f t="shared" si="14"/>
        <v>205385.81</v>
      </c>
      <c r="CC24" s="187">
        <f>+'linked - DO NOT USE or DELETE'!H28+'linked - DO NOT USE or DELETE'!M28+'linked - DO NOT USE or DELETE'!R28</f>
        <v>30060</v>
      </c>
      <c r="CD24" s="281">
        <f t="shared" si="15"/>
        <v>235445.81</v>
      </c>
      <c r="CF24" s="576">
        <f t="shared" si="16"/>
        <v>235445.81000000003</v>
      </c>
    </row>
    <row r="25" spans="1:84" ht="15" customHeight="1" x14ac:dyDescent="0.25">
      <c r="A25" s="83" t="s">
        <v>323</v>
      </c>
      <c r="B25" s="165" t="s">
        <v>131</v>
      </c>
      <c r="C25" s="590" t="s">
        <v>153</v>
      </c>
      <c r="D25" s="167">
        <v>239</v>
      </c>
      <c r="E25" s="167">
        <f>F25/D25</f>
        <v>1.1757322175732217</v>
      </c>
      <c r="F25" s="167">
        <v>281</v>
      </c>
      <c r="G25" s="184">
        <f>H25/F25</f>
        <v>234.09252669039145</v>
      </c>
      <c r="H25" s="184">
        <v>65780</v>
      </c>
      <c r="I25" s="167">
        <v>293</v>
      </c>
      <c r="J25" s="167">
        <f t="shared" si="53"/>
        <v>1.1604095563139931</v>
      </c>
      <c r="K25" s="167">
        <v>340</v>
      </c>
      <c r="L25" s="184">
        <f t="shared" si="54"/>
        <v>223.82058823529411</v>
      </c>
      <c r="M25" s="184">
        <v>76099</v>
      </c>
      <c r="N25" s="167">
        <v>220</v>
      </c>
      <c r="O25" s="167">
        <f t="shared" si="55"/>
        <v>1.1681818181818182</v>
      </c>
      <c r="P25" s="167">
        <v>257</v>
      </c>
      <c r="Q25" s="184">
        <f t="shared" si="56"/>
        <v>224.2863813229572</v>
      </c>
      <c r="R25" s="184">
        <v>57641.599999999999</v>
      </c>
      <c r="S25" s="167">
        <v>204</v>
      </c>
      <c r="T25" s="167">
        <f t="shared" si="4"/>
        <v>1.0196078431372548</v>
      </c>
      <c r="U25" s="167">
        <v>208</v>
      </c>
      <c r="V25" s="184">
        <f t="shared" si="0"/>
        <v>239.59038461538464</v>
      </c>
      <c r="W25" s="184">
        <v>49834.8</v>
      </c>
      <c r="X25" s="167">
        <v>163</v>
      </c>
      <c r="Y25" s="167">
        <f t="shared" si="5"/>
        <v>1.0429447852760736</v>
      </c>
      <c r="Z25" s="167">
        <v>170</v>
      </c>
      <c r="AA25" s="184">
        <f t="shared" si="6"/>
        <v>236.3294117647059</v>
      </c>
      <c r="AB25" s="184">
        <v>40176</v>
      </c>
      <c r="AC25" s="167">
        <v>170</v>
      </c>
      <c r="AD25" s="167">
        <f t="shared" si="7"/>
        <v>1.0176470588235293</v>
      </c>
      <c r="AE25" s="167">
        <v>173</v>
      </c>
      <c r="AF25" s="184">
        <f t="shared" si="8"/>
        <v>238.88670520231216</v>
      </c>
      <c r="AG25" s="184">
        <v>41327.4</v>
      </c>
      <c r="AH25" s="167">
        <v>137</v>
      </c>
      <c r="AI25" s="167">
        <f t="shared" si="9"/>
        <v>1</v>
      </c>
      <c r="AJ25" s="167">
        <v>137</v>
      </c>
      <c r="AK25" s="184">
        <f t="shared" si="1"/>
        <v>238.75912408759123</v>
      </c>
      <c r="AL25" s="184">
        <v>32710</v>
      </c>
      <c r="AM25" s="167">
        <v>97</v>
      </c>
      <c r="AN25" s="167">
        <f t="shared" si="10"/>
        <v>1.0103092783505154</v>
      </c>
      <c r="AO25" s="167">
        <v>98</v>
      </c>
      <c r="AP25" s="184">
        <f t="shared" si="11"/>
        <v>236.39061224489794</v>
      </c>
      <c r="AQ25" s="184">
        <v>23166.28</v>
      </c>
      <c r="AR25" s="167">
        <v>86</v>
      </c>
      <c r="AS25" s="167">
        <f t="shared" si="12"/>
        <v>1</v>
      </c>
      <c r="AT25" s="167">
        <v>86</v>
      </c>
      <c r="AU25" s="184">
        <f t="shared" si="13"/>
        <v>242.98116279069768</v>
      </c>
      <c r="AV25" s="184">
        <v>20896.38</v>
      </c>
      <c r="AW25" s="167">
        <f>'Factor D Back Up'!D421</f>
        <v>131</v>
      </c>
      <c r="AX25" s="167">
        <f>'Factor D Back Up'!E421</f>
        <v>1</v>
      </c>
      <c r="AY25" s="167">
        <f>'Factor D Back Up'!F421</f>
        <v>131</v>
      </c>
      <c r="AZ25" s="184">
        <f>'Factor D Back Up'!G421</f>
        <v>248.8</v>
      </c>
      <c r="BA25" s="184">
        <f>'Factor D Back Up'!H421</f>
        <v>32592.800000000003</v>
      </c>
      <c r="BB25" s="167">
        <f>'Factor D Back Up'!D422</f>
        <v>131</v>
      </c>
      <c r="BC25" s="167">
        <f>'Factor D Back Up'!E422</f>
        <v>1</v>
      </c>
      <c r="BD25" s="167">
        <f>'Factor D Back Up'!F422</f>
        <v>131</v>
      </c>
      <c r="BE25" s="184">
        <f>'Factor D Back Up'!G422</f>
        <v>255.2688</v>
      </c>
      <c r="BF25" s="184">
        <f>'Factor D Back Up'!H422</f>
        <v>33440.212800000001</v>
      </c>
      <c r="BG25" s="167">
        <f>'Factor D Back Up'!D423</f>
        <v>131</v>
      </c>
      <c r="BH25" s="167">
        <f>'Factor D Back Up'!E423</f>
        <v>1</v>
      </c>
      <c r="BI25" s="167">
        <f>'Factor D Back Up'!F423</f>
        <v>131</v>
      </c>
      <c r="BJ25" s="184">
        <f>'Factor D Back Up'!G423</f>
        <v>261.90578879999998</v>
      </c>
      <c r="BK25" s="184">
        <f>'Factor D Back Up'!H423</f>
        <v>34309.658332799998</v>
      </c>
      <c r="BL25" s="167">
        <f>'Factor D Back Up'!D424</f>
        <v>131</v>
      </c>
      <c r="BM25" s="167">
        <f>'Factor D Back Up'!E424</f>
        <v>1</v>
      </c>
      <c r="BN25" s="167">
        <f>'Factor D Back Up'!F424</f>
        <v>131</v>
      </c>
      <c r="BO25" s="184">
        <f>'Factor D Back Up'!G424</f>
        <v>268.71533930879997</v>
      </c>
      <c r="BP25" s="184">
        <f>'Factor D Back Up'!H424</f>
        <v>35201.709449452799</v>
      </c>
      <c r="BQ25" s="167">
        <f>'Factor D Back Up'!D425</f>
        <v>131</v>
      </c>
      <c r="BR25" s="167">
        <f>'Factor D Back Up'!E425</f>
        <v>1</v>
      </c>
      <c r="BS25" s="167">
        <f>'Factor D Back Up'!F425</f>
        <v>131</v>
      </c>
      <c r="BT25" s="184">
        <f>'Factor D Back Up'!G425</f>
        <v>275.70193813082875</v>
      </c>
      <c r="BU25" s="184">
        <f>'Factor D Back Up'!H425</f>
        <v>36116.953895138569</v>
      </c>
      <c r="BV25" s="167">
        <f>'Factor D Back Up'!D426</f>
        <v>131</v>
      </c>
      <c r="BW25" s="167">
        <f>'Factor D Back Up'!E426</f>
        <v>1</v>
      </c>
      <c r="BX25" s="167">
        <f>'Factor D Back Up'!F426</f>
        <v>131</v>
      </c>
      <c r="BY25" s="184">
        <f>'Factor D Back Up'!G426</f>
        <v>282.87018852223031</v>
      </c>
      <c r="BZ25" s="184">
        <f>'Factor D Back Up'!H426</f>
        <v>37055.99469641217</v>
      </c>
      <c r="CB25" s="187">
        <f t="shared" si="14"/>
        <v>416828.18917380361</v>
      </c>
      <c r="CC25" s="187">
        <f>+'linked - DO NOT USE or DELETE'!H29+'linked - DO NOT USE or DELETE'!M29+'linked - DO NOT USE or DELETE'!R29</f>
        <v>199520.6</v>
      </c>
      <c r="CD25" s="281">
        <f t="shared" si="15"/>
        <v>616348.78917380364</v>
      </c>
      <c r="CF25" s="576">
        <f t="shared" si="16"/>
        <v>616348.78917380353</v>
      </c>
    </row>
    <row r="26" spans="1:84" ht="15" customHeight="1" x14ac:dyDescent="0.25">
      <c r="A26" s="83" t="s">
        <v>283</v>
      </c>
      <c r="B26" s="165" t="s">
        <v>129</v>
      </c>
      <c r="C26" s="590" t="s">
        <v>152</v>
      </c>
      <c r="D26" s="167">
        <v>197</v>
      </c>
      <c r="E26" s="167">
        <f>F26/D26</f>
        <v>31.598984771573605</v>
      </c>
      <c r="F26" s="167">
        <v>6225</v>
      </c>
      <c r="G26" s="184">
        <f>H26/F26</f>
        <v>21.884939759036143</v>
      </c>
      <c r="H26" s="184">
        <v>136233.75</v>
      </c>
      <c r="I26" s="167">
        <v>311</v>
      </c>
      <c r="J26" s="167">
        <f t="shared" si="53"/>
        <v>63.475884244372992</v>
      </c>
      <c r="K26" s="167">
        <v>19741</v>
      </c>
      <c r="L26" s="184">
        <f t="shared" si="54"/>
        <v>24.259518261486257</v>
      </c>
      <c r="M26" s="184">
        <v>478907.1500000002</v>
      </c>
      <c r="N26" s="167">
        <v>368</v>
      </c>
      <c r="O26" s="167">
        <f t="shared" si="55"/>
        <v>98.448369565217391</v>
      </c>
      <c r="P26" s="167">
        <v>36229</v>
      </c>
      <c r="Q26" s="184">
        <f t="shared" si="56"/>
        <v>24.771831957823842</v>
      </c>
      <c r="R26" s="184">
        <v>897458.7</v>
      </c>
      <c r="S26" s="167">
        <v>410</v>
      </c>
      <c r="T26" s="167">
        <f t="shared" si="4"/>
        <v>90.743902439024396</v>
      </c>
      <c r="U26" s="167">
        <v>37205</v>
      </c>
      <c r="V26" s="184">
        <f t="shared" si="0"/>
        <v>24.404520897728798</v>
      </c>
      <c r="W26" s="184">
        <v>907970.2</v>
      </c>
      <c r="X26" s="167">
        <v>422</v>
      </c>
      <c r="Y26" s="167">
        <f t="shared" si="5"/>
        <v>71.009478672985779</v>
      </c>
      <c r="Z26" s="167">
        <v>29966</v>
      </c>
      <c r="AA26" s="184">
        <f t="shared" si="6"/>
        <v>24.908610758860043</v>
      </c>
      <c r="AB26" s="184">
        <v>746411.43</v>
      </c>
      <c r="AC26" s="167">
        <v>911</v>
      </c>
      <c r="AD26" s="167">
        <f t="shared" si="7"/>
        <v>50.729967069154775</v>
      </c>
      <c r="AE26" s="167">
        <v>46215</v>
      </c>
      <c r="AF26" s="184">
        <f t="shared" si="8"/>
        <v>25.730522557611167</v>
      </c>
      <c r="AG26" s="184">
        <v>1189136.1000000001</v>
      </c>
      <c r="AH26" s="167">
        <v>864</v>
      </c>
      <c r="AI26" s="167">
        <f t="shared" si="9"/>
        <v>55.611111111111114</v>
      </c>
      <c r="AJ26" s="167">
        <v>48048</v>
      </c>
      <c r="AK26" s="184">
        <f t="shared" si="1"/>
        <v>25.63341595904096</v>
      </c>
      <c r="AL26" s="184">
        <v>1231634.3700000001</v>
      </c>
      <c r="AM26" s="167">
        <v>527</v>
      </c>
      <c r="AN26" s="167">
        <f t="shared" si="10"/>
        <v>85.950664136622393</v>
      </c>
      <c r="AO26" s="167">
        <v>45296</v>
      </c>
      <c r="AP26" s="184">
        <f t="shared" si="11"/>
        <v>25.482208362769342</v>
      </c>
      <c r="AQ26" s="184">
        <v>1154242.1100000001</v>
      </c>
      <c r="AR26" s="167">
        <v>502</v>
      </c>
      <c r="AS26" s="167">
        <f t="shared" si="12"/>
        <v>84.177290836653384</v>
      </c>
      <c r="AT26" s="167">
        <v>42257</v>
      </c>
      <c r="AU26" s="184">
        <f t="shared" si="13"/>
        <v>26.004745249307806</v>
      </c>
      <c r="AV26" s="184">
        <v>1098882.52</v>
      </c>
      <c r="AW26" s="167">
        <f>'Factor D Back Up'!D439</f>
        <v>497</v>
      </c>
      <c r="AX26" s="167">
        <f>'Factor D Back Up'!E439</f>
        <v>82.864720732328294</v>
      </c>
      <c r="AY26" s="167">
        <f>'Factor D Back Up'!F439</f>
        <v>41183.766203967163</v>
      </c>
      <c r="AZ26" s="184">
        <f>'Factor D Back Up'!G439</f>
        <v>26.66</v>
      </c>
      <c r="BA26" s="184">
        <f>'Factor D Back Up'!H439</f>
        <v>1097959.2069977645</v>
      </c>
      <c r="BB26" s="167">
        <f>'Factor D Back Up'!D440</f>
        <v>470</v>
      </c>
      <c r="BC26" s="167">
        <f>'Factor D Back Up'!E440</f>
        <v>85.398872593311381</v>
      </c>
      <c r="BD26" s="167">
        <f>'Factor D Back Up'!F440</f>
        <v>40137.470118856349</v>
      </c>
      <c r="BE26" s="184">
        <f>'Factor D Back Up'!G440</f>
        <v>27.353159999999999</v>
      </c>
      <c r="BF26" s="184">
        <f>'Factor D Back Up'!H440</f>
        <v>1097886.6421562966</v>
      </c>
      <c r="BG26" s="167">
        <f>'Factor D Back Up'!D441</f>
        <v>450</v>
      </c>
      <c r="BH26" s="167">
        <f>'Factor D Back Up'!E441</f>
        <v>87.933024454294468</v>
      </c>
      <c r="BI26" s="167">
        <f>'Factor D Back Up'!F441</f>
        <v>39569.861004432511</v>
      </c>
      <c r="BJ26" s="184">
        <f>'Factor D Back Up'!G441</f>
        <v>28.064342159999999</v>
      </c>
      <c r="BK26" s="184">
        <f>'Factor D Back Up'!H441</f>
        <v>1110502.1184520351</v>
      </c>
      <c r="BL26" s="167">
        <f>'Factor D Back Up'!D442</f>
        <v>438</v>
      </c>
      <c r="BM26" s="167">
        <f>'Factor D Back Up'!E442</f>
        <v>90.467176315277555</v>
      </c>
      <c r="BN26" s="167">
        <f>'Factor D Back Up'!F442</f>
        <v>39624.623226091571</v>
      </c>
      <c r="BO26" s="184">
        <f>'Factor D Back Up'!G442</f>
        <v>28.794015056159999</v>
      </c>
      <c r="BP26" s="184">
        <f>'Factor D Back Up'!H442</f>
        <v>1140951.9977667478</v>
      </c>
      <c r="BQ26" s="167">
        <f>'Factor D Back Up'!D443</f>
        <v>427</v>
      </c>
      <c r="BR26" s="167">
        <f>'Factor D Back Up'!E443</f>
        <v>93.001328176260643</v>
      </c>
      <c r="BS26" s="167">
        <f>'Factor D Back Up'!F443</f>
        <v>39711.567131263291</v>
      </c>
      <c r="BT26" s="184">
        <f>'Factor D Back Up'!G443</f>
        <v>29.54265944762016</v>
      </c>
      <c r="BU26" s="184">
        <f>'Factor D Back Up'!H443</f>
        <v>1173185.3038902178</v>
      </c>
      <c r="BV26" s="167">
        <f>'Factor D Back Up'!D444</f>
        <v>415</v>
      </c>
      <c r="BW26" s="167">
        <f>'Factor D Back Up'!E444</f>
        <v>95.53548003724373</v>
      </c>
      <c r="BX26" s="167">
        <f>'Factor D Back Up'!F444</f>
        <v>39647.224215456146</v>
      </c>
      <c r="BY26" s="184">
        <f>'Factor D Back Up'!G444</f>
        <v>30.310768593258285</v>
      </c>
      <c r="BZ26" s="184">
        <f>'Factor D Back Up'!H444</f>
        <v>1201737.8385597174</v>
      </c>
      <c r="CB26" s="187">
        <f t="shared" si="14"/>
        <v>13150499.837822778</v>
      </c>
      <c r="CC26" s="187">
        <f>+'linked - DO NOT USE or DELETE'!H30+'linked - DO NOT USE or DELETE'!M30+'linked - DO NOT USE or DELETE'!R30</f>
        <v>1512599.6</v>
      </c>
      <c r="CD26" s="281">
        <f t="shared" si="15"/>
        <v>14663099.437822778</v>
      </c>
      <c r="CF26" s="576">
        <f t="shared" si="16"/>
        <v>14663099.43782278</v>
      </c>
    </row>
    <row r="27" spans="1:84" ht="15" customHeight="1" x14ac:dyDescent="0.25">
      <c r="A27" s="83" t="s">
        <v>284</v>
      </c>
      <c r="B27" s="165" t="s">
        <v>129</v>
      </c>
      <c r="C27" s="590" t="s">
        <v>152</v>
      </c>
      <c r="D27" s="167">
        <v>150</v>
      </c>
      <c r="E27" s="167">
        <f>F27/D27</f>
        <v>49.56666666666667</v>
      </c>
      <c r="F27" s="167">
        <v>7435</v>
      </c>
      <c r="G27" s="184">
        <f>H27/F27</f>
        <v>15.119031607262945</v>
      </c>
      <c r="H27" s="184">
        <v>112410</v>
      </c>
      <c r="I27" s="167">
        <v>193</v>
      </c>
      <c r="J27" s="167">
        <f t="shared" si="53"/>
        <v>93.787564766839381</v>
      </c>
      <c r="K27" s="167">
        <v>18101</v>
      </c>
      <c r="L27" s="184">
        <f t="shared" si="54"/>
        <v>14.602231920888348</v>
      </c>
      <c r="M27" s="184">
        <v>264315</v>
      </c>
      <c r="N27" s="167">
        <v>232</v>
      </c>
      <c r="O27" s="167">
        <f t="shared" si="55"/>
        <v>113.49568965517241</v>
      </c>
      <c r="P27" s="167">
        <v>26331</v>
      </c>
      <c r="Q27" s="184">
        <f t="shared" si="56"/>
        <v>14.768713683490942</v>
      </c>
      <c r="R27" s="184">
        <v>388875</v>
      </c>
      <c r="S27" s="167">
        <v>184</v>
      </c>
      <c r="T27" s="167">
        <f t="shared" si="4"/>
        <v>99.967391304347828</v>
      </c>
      <c r="U27" s="167">
        <v>18394</v>
      </c>
      <c r="V27" s="184">
        <f t="shared" si="0"/>
        <v>14.630096770686093</v>
      </c>
      <c r="W27" s="184">
        <v>269106</v>
      </c>
      <c r="X27" s="167">
        <v>130</v>
      </c>
      <c r="Y27" s="167">
        <f t="shared" si="5"/>
        <v>61.030769230769231</v>
      </c>
      <c r="Z27" s="167">
        <v>7934</v>
      </c>
      <c r="AA27" s="184">
        <f t="shared" si="6"/>
        <v>15</v>
      </c>
      <c r="AB27" s="184">
        <v>119010</v>
      </c>
      <c r="AC27" s="167">
        <v>186</v>
      </c>
      <c r="AD27" s="167">
        <f t="shared" si="7"/>
        <v>56.526881720430104</v>
      </c>
      <c r="AE27" s="167">
        <v>10514</v>
      </c>
      <c r="AF27" s="184">
        <f t="shared" si="8"/>
        <v>14.914066958341259</v>
      </c>
      <c r="AG27" s="184">
        <v>156806.5</v>
      </c>
      <c r="AH27" s="167">
        <v>224</v>
      </c>
      <c r="AI27" s="167">
        <f t="shared" si="9"/>
        <v>52.15625</v>
      </c>
      <c r="AJ27" s="167">
        <v>11683</v>
      </c>
      <c r="AK27" s="184">
        <f t="shared" si="1"/>
        <v>14.926688350594882</v>
      </c>
      <c r="AL27" s="184">
        <v>174388.5</v>
      </c>
      <c r="AM27" s="167">
        <v>102</v>
      </c>
      <c r="AN27" s="167">
        <f t="shared" si="10"/>
        <v>113.24509803921569</v>
      </c>
      <c r="AO27" s="167">
        <v>11551</v>
      </c>
      <c r="AP27" s="184">
        <f t="shared" si="11"/>
        <v>14.960717686780365</v>
      </c>
      <c r="AQ27" s="184">
        <v>172811.25</v>
      </c>
      <c r="AR27" s="167">
        <v>105</v>
      </c>
      <c r="AS27" s="167">
        <f t="shared" si="12"/>
        <v>78.571428571428569</v>
      </c>
      <c r="AT27" s="167">
        <v>8250</v>
      </c>
      <c r="AU27" s="184">
        <f t="shared" si="13"/>
        <v>15.712218181818182</v>
      </c>
      <c r="AV27" s="184">
        <v>129625.8</v>
      </c>
      <c r="AW27" s="167">
        <f>'Factor D Back Up'!D457</f>
        <v>106</v>
      </c>
      <c r="AX27" s="167">
        <f>'Factor D Back Up'!E457</f>
        <v>80.505770429033916</v>
      </c>
      <c r="AY27" s="167">
        <f>'Factor D Back Up'!F457</f>
        <v>8533.6116654775942</v>
      </c>
      <c r="AZ27" s="184">
        <f>'Factor D Back Up'!G457</f>
        <v>16.420000000000002</v>
      </c>
      <c r="BA27" s="184">
        <f>'Factor D Back Up'!H457</f>
        <v>140121.90354714211</v>
      </c>
      <c r="BB27" s="167">
        <f>'Factor D Back Up'!D458</f>
        <v>109</v>
      </c>
      <c r="BC27" s="167">
        <f>'Factor D Back Up'!E458</f>
        <v>80.643641404732477</v>
      </c>
      <c r="BD27" s="167">
        <f>'Factor D Back Up'!F458</f>
        <v>8790.1569131158394</v>
      </c>
      <c r="BE27" s="184">
        <f>'Factor D Back Up'!G458</f>
        <v>16.846920000000001</v>
      </c>
      <c r="BF27" s="184">
        <f>'Factor D Back Up'!H458</f>
        <v>148087.0703027095</v>
      </c>
      <c r="BG27" s="167">
        <f>'Factor D Back Up'!D459</f>
        <v>111</v>
      </c>
      <c r="BH27" s="167">
        <f>'Factor D Back Up'!E459</f>
        <v>80.781512380431053</v>
      </c>
      <c r="BI27" s="167">
        <f>'Factor D Back Up'!F459</f>
        <v>8966.7478742278472</v>
      </c>
      <c r="BJ27" s="184">
        <f>'Factor D Back Up'!G459</f>
        <v>17.284939919999999</v>
      </c>
      <c r="BK27" s="184">
        <f>'Factor D Back Up'!H459</f>
        <v>154989.69828381605</v>
      </c>
      <c r="BL27" s="167">
        <f>'Factor D Back Up'!D460</f>
        <v>113</v>
      </c>
      <c r="BM27" s="167">
        <f>'Factor D Back Up'!E460</f>
        <v>80.919383356129615</v>
      </c>
      <c r="BN27" s="167">
        <f>'Factor D Back Up'!F460</f>
        <v>9143.890319242646</v>
      </c>
      <c r="BO27" s="184">
        <f>'Factor D Back Up'!G460</f>
        <v>17.734348357919998</v>
      </c>
      <c r="BP27" s="184">
        <f>'Factor D Back Up'!H460</f>
        <v>162160.9362680614</v>
      </c>
      <c r="BQ27" s="167">
        <f>'Factor D Back Up'!D461</f>
        <v>114</v>
      </c>
      <c r="BR27" s="167">
        <f>'Factor D Back Up'!E461</f>
        <v>81.057254331828176</v>
      </c>
      <c r="BS27" s="167">
        <f>'Factor D Back Up'!F461</f>
        <v>9240.5269938284127</v>
      </c>
      <c r="BT27" s="184">
        <f>'Factor D Back Up'!G461</f>
        <v>18.195441415225918</v>
      </c>
      <c r="BU27" s="184">
        <f>'Factor D Back Up'!H461</f>
        <v>168135.46756201854</v>
      </c>
      <c r="BV27" s="167">
        <f>'Factor D Back Up'!D462</f>
        <v>115</v>
      </c>
      <c r="BW27" s="167">
        <f>'Factor D Back Up'!E462</f>
        <v>81.195125307526752</v>
      </c>
      <c r="BX27" s="167">
        <f>'Factor D Back Up'!F462</f>
        <v>9337.4394103655759</v>
      </c>
      <c r="BY27" s="184">
        <f>'Factor D Back Up'!G462</f>
        <v>18.668522892021791</v>
      </c>
      <c r="BZ27" s="184">
        <f>'Factor D Back Up'!H462</f>
        <v>174316.20138527622</v>
      </c>
      <c r="CB27" s="187">
        <f t="shared" si="14"/>
        <v>1969559.3273490239</v>
      </c>
      <c r="CC27" s="187">
        <f>+'linked - DO NOT USE or DELETE'!H31+'linked - DO NOT USE or DELETE'!M31+'linked - DO NOT USE or DELETE'!R31</f>
        <v>765600</v>
      </c>
      <c r="CD27" s="281">
        <f t="shared" si="15"/>
        <v>2735159.3273490239</v>
      </c>
      <c r="CF27" s="576">
        <f t="shared" si="16"/>
        <v>2735159.3273490239</v>
      </c>
    </row>
    <row r="28" spans="1:84" ht="15" customHeight="1" x14ac:dyDescent="0.25">
      <c r="A28" s="83" t="s">
        <v>1105</v>
      </c>
      <c r="B28" s="165" t="s">
        <v>129</v>
      </c>
      <c r="C28" s="590" t="s">
        <v>152</v>
      </c>
      <c r="D28" s="167">
        <v>11</v>
      </c>
      <c r="E28" s="167">
        <f>F28/D28</f>
        <v>9806.2727272727279</v>
      </c>
      <c r="F28" s="167">
        <v>107869</v>
      </c>
      <c r="G28" s="184">
        <f>H28/F28</f>
        <v>5.497209578284771</v>
      </c>
      <c r="H28" s="184">
        <v>592978.5</v>
      </c>
      <c r="I28" s="167">
        <v>22</v>
      </c>
      <c r="J28" s="167">
        <f t="shared" si="53"/>
        <v>11549.636363636364</v>
      </c>
      <c r="K28" s="167">
        <v>254092</v>
      </c>
      <c r="L28" s="184">
        <f t="shared" si="54"/>
        <v>5.4947263196007743</v>
      </c>
      <c r="M28" s="184">
        <v>1396166</v>
      </c>
      <c r="N28" s="167">
        <v>42</v>
      </c>
      <c r="O28" s="167">
        <f t="shared" si="55"/>
        <v>13095.595238095239</v>
      </c>
      <c r="P28" s="167">
        <v>550015</v>
      </c>
      <c r="Q28" s="184">
        <f t="shared" si="56"/>
        <v>5.4970582620473989</v>
      </c>
      <c r="R28" s="184">
        <v>3023464.5</v>
      </c>
      <c r="S28" s="167">
        <v>49</v>
      </c>
      <c r="T28" s="167">
        <f t="shared" si="4"/>
        <v>13536.224489795919</v>
      </c>
      <c r="U28" s="167">
        <v>663275</v>
      </c>
      <c r="V28" s="184">
        <f t="shared" si="0"/>
        <v>5.48184846406091</v>
      </c>
      <c r="W28" s="184">
        <v>3635973.04</v>
      </c>
      <c r="X28" s="167">
        <v>58</v>
      </c>
      <c r="Y28" s="167">
        <f t="shared" si="5"/>
        <v>12290.689655172413</v>
      </c>
      <c r="Z28" s="167">
        <v>712860</v>
      </c>
      <c r="AA28" s="184">
        <f t="shared" si="6"/>
        <v>5.4799301405605592</v>
      </c>
      <c r="AB28" s="184">
        <v>3906423</v>
      </c>
      <c r="AC28" s="167">
        <v>153</v>
      </c>
      <c r="AD28" s="167">
        <f t="shared" si="7"/>
        <v>5340.4967320261439</v>
      </c>
      <c r="AE28" s="167">
        <v>817096</v>
      </c>
      <c r="AF28" s="184">
        <f t="shared" si="8"/>
        <v>5.4901422966212046</v>
      </c>
      <c r="AG28" s="184">
        <v>4485973.3099999996</v>
      </c>
      <c r="AH28" s="167">
        <v>157</v>
      </c>
      <c r="AI28" s="167">
        <f t="shared" si="9"/>
        <v>6420.7197452229302</v>
      </c>
      <c r="AJ28" s="167">
        <v>1008053</v>
      </c>
      <c r="AK28" s="184">
        <f t="shared" si="1"/>
        <v>5.55754729166026</v>
      </c>
      <c r="AL28" s="184">
        <v>5602302.2199999997</v>
      </c>
      <c r="AM28" s="167">
        <v>113</v>
      </c>
      <c r="AN28" s="167">
        <f t="shared" si="10"/>
        <v>10108.690265486726</v>
      </c>
      <c r="AO28" s="167">
        <v>1142282</v>
      </c>
      <c r="AP28" s="184">
        <f t="shared" si="11"/>
        <v>5.9194415389544783</v>
      </c>
      <c r="AQ28" s="184">
        <v>6761671.5199999996</v>
      </c>
      <c r="AR28" s="167">
        <v>117</v>
      </c>
      <c r="AS28" s="167">
        <f t="shared" si="12"/>
        <v>10006.521367521367</v>
      </c>
      <c r="AT28" s="167">
        <v>1170763</v>
      </c>
      <c r="AU28" s="184">
        <f t="shared" si="13"/>
        <v>5.9598283597961332</v>
      </c>
      <c r="AV28" s="184">
        <v>6977546.5300000003</v>
      </c>
      <c r="AW28" s="167">
        <f>'Factor D Back Up'!D475</f>
        <v>118</v>
      </c>
      <c r="AX28" s="167">
        <f>'Factor D Back Up'!E475</f>
        <v>9904.3524695560081</v>
      </c>
      <c r="AY28" s="167">
        <f>'Factor D Back Up'!F475</f>
        <v>1168713.5914076089</v>
      </c>
      <c r="AZ28" s="184">
        <f>'Factor D Back Up'!G475</f>
        <v>6.03</v>
      </c>
      <c r="BA28" s="184">
        <f>'Factor D Back Up'!H475</f>
        <v>7047342.9561878825</v>
      </c>
      <c r="BB28" s="167">
        <f>'Factor D Back Up'!D476</f>
        <v>122</v>
      </c>
      <c r="BC28" s="167">
        <f>'Factor D Back Up'!E476</f>
        <v>9802.1835715906491</v>
      </c>
      <c r="BD28" s="167">
        <f>'Factor D Back Up'!F476</f>
        <v>1195866.3957340592</v>
      </c>
      <c r="BE28" s="184">
        <f>'Factor D Back Up'!G476</f>
        <v>6.1867800000000006</v>
      </c>
      <c r="BF28" s="184">
        <f>'Factor D Back Up'!H476</f>
        <v>7398562.2997995634</v>
      </c>
      <c r="BG28" s="167">
        <f>'Factor D Back Up'!D477</f>
        <v>125</v>
      </c>
      <c r="BH28" s="167">
        <f>'Factor D Back Up'!E477</f>
        <v>9700.01467362529</v>
      </c>
      <c r="BI28" s="167">
        <f>'Factor D Back Up'!F477</f>
        <v>1212501.8342031613</v>
      </c>
      <c r="BJ28" s="184">
        <f>'Factor D Back Up'!G477</f>
        <v>6.3476362800000006</v>
      </c>
      <c r="BK28" s="184">
        <f>'Factor D Back Up'!H477</f>
        <v>7696520.6323545324</v>
      </c>
      <c r="BL28" s="167">
        <f>'Factor D Back Up'!D478</f>
        <v>127</v>
      </c>
      <c r="BM28" s="167">
        <f>'Factor D Back Up'!E478</f>
        <v>9597.845775659931</v>
      </c>
      <c r="BN28" s="167">
        <f>'Factor D Back Up'!F478</f>
        <v>1218926.4135088113</v>
      </c>
      <c r="BO28" s="184">
        <f>'Factor D Back Up'!G478</f>
        <v>6.5126748232800002</v>
      </c>
      <c r="BP28" s="184">
        <f>'Factor D Back Up'!H478</f>
        <v>7938471.3646898223</v>
      </c>
      <c r="BQ28" s="167">
        <f>'Factor D Back Up'!D479</f>
        <v>129</v>
      </c>
      <c r="BR28" s="167">
        <f>'Factor D Back Up'!E479</f>
        <v>9495.6768776945719</v>
      </c>
      <c r="BS28" s="167">
        <f>'Factor D Back Up'!F479</f>
        <v>1224942.3172225999</v>
      </c>
      <c r="BT28" s="184">
        <f>'Factor D Back Up'!G479</f>
        <v>6.6820043686852806</v>
      </c>
      <c r="BU28" s="184">
        <f>'Factor D Back Up'!H479</f>
        <v>8185069.9150688834</v>
      </c>
      <c r="BV28" s="167">
        <f>'Factor D Back Up'!D480</f>
        <v>131</v>
      </c>
      <c r="BW28" s="167">
        <f>'Factor D Back Up'!E480</f>
        <v>9393.5079797292128</v>
      </c>
      <c r="BX28" s="167">
        <f>'Factor D Back Up'!F480</f>
        <v>1230549.5453445269</v>
      </c>
      <c r="BY28" s="184">
        <f>'Factor D Back Up'!G480</f>
        <v>6.855736482271098</v>
      </c>
      <c r="BZ28" s="184">
        <f>'Factor D Back Up'!H480</f>
        <v>8436323.4112605862</v>
      </c>
      <c r="CB28" s="187">
        <f t="shared" si="14"/>
        <v>78072180.19936128</v>
      </c>
      <c r="CC28" s="187">
        <f>+'linked - DO NOT USE or DELETE'!H32+'linked - DO NOT USE or DELETE'!M32+'linked - DO NOT USE or DELETE'!R32</f>
        <v>5012609</v>
      </c>
      <c r="CD28" s="281">
        <f t="shared" si="15"/>
        <v>83084789.19936128</v>
      </c>
      <c r="CF28" s="576">
        <f t="shared" si="16"/>
        <v>83084789.199361265</v>
      </c>
    </row>
    <row r="29" spans="1:84" ht="15" customHeight="1" x14ac:dyDescent="0.25">
      <c r="A29" s="82" t="s">
        <v>219</v>
      </c>
      <c r="B29" s="165"/>
      <c r="C29" s="291"/>
      <c r="D29" s="167">
        <v>0</v>
      </c>
      <c r="E29" s="167" t="e">
        <f t="shared" ref="E29:E32" si="57">F29/D29</f>
        <v>#DIV/0!</v>
      </c>
      <c r="F29" s="167">
        <v>0</v>
      </c>
      <c r="G29" s="184" t="e">
        <f t="shared" ref="G29:G32" si="58">H29/F29</f>
        <v>#DIV/0!</v>
      </c>
      <c r="H29" s="184">
        <v>0</v>
      </c>
      <c r="I29" s="167">
        <v>0</v>
      </c>
      <c r="J29" s="167" t="e">
        <f t="shared" si="53"/>
        <v>#DIV/0!</v>
      </c>
      <c r="K29" s="167">
        <v>0</v>
      </c>
      <c r="L29" s="184" t="e">
        <f t="shared" si="54"/>
        <v>#DIV/0!</v>
      </c>
      <c r="M29" s="184">
        <v>0</v>
      </c>
      <c r="N29" s="167">
        <v>0</v>
      </c>
      <c r="O29" s="167" t="e">
        <f t="shared" si="55"/>
        <v>#DIV/0!</v>
      </c>
      <c r="P29" s="167">
        <v>0</v>
      </c>
      <c r="Q29" s="184" t="e">
        <f t="shared" si="56"/>
        <v>#DIV/0!</v>
      </c>
      <c r="R29" s="184">
        <v>0</v>
      </c>
      <c r="S29" s="167">
        <v>1</v>
      </c>
      <c r="T29" s="167">
        <f t="shared" si="4"/>
        <v>1</v>
      </c>
      <c r="U29" s="167">
        <v>1</v>
      </c>
      <c r="V29" s="184">
        <f t="shared" si="0"/>
        <v>500</v>
      </c>
      <c r="W29" s="184">
        <v>500</v>
      </c>
      <c r="X29" s="167">
        <v>0</v>
      </c>
      <c r="Y29" s="167" t="e">
        <f t="shared" si="5"/>
        <v>#DIV/0!</v>
      </c>
      <c r="Z29" s="167">
        <v>0</v>
      </c>
      <c r="AA29" s="184" t="e">
        <f t="shared" si="6"/>
        <v>#DIV/0!</v>
      </c>
      <c r="AB29" s="184">
        <v>0</v>
      </c>
      <c r="AC29" s="167">
        <v>0</v>
      </c>
      <c r="AD29" s="167" t="e">
        <f t="shared" si="7"/>
        <v>#DIV/0!</v>
      </c>
      <c r="AE29" s="167">
        <v>0</v>
      </c>
      <c r="AF29" s="184" t="e">
        <f t="shared" si="8"/>
        <v>#DIV/0!</v>
      </c>
      <c r="AG29" s="184">
        <v>0</v>
      </c>
      <c r="AH29" s="167">
        <v>0</v>
      </c>
      <c r="AI29" s="167" t="e">
        <f t="shared" si="9"/>
        <v>#DIV/0!</v>
      </c>
      <c r="AJ29" s="167">
        <v>0</v>
      </c>
      <c r="AK29" s="184" t="e">
        <f t="shared" si="1"/>
        <v>#DIV/0!</v>
      </c>
      <c r="AL29" s="184">
        <v>0</v>
      </c>
      <c r="AM29" s="167">
        <v>0</v>
      </c>
      <c r="AN29" s="167" t="e">
        <f t="shared" si="10"/>
        <v>#DIV/0!</v>
      </c>
      <c r="AO29" s="167">
        <v>0</v>
      </c>
      <c r="AP29" s="184" t="e">
        <f t="shared" si="11"/>
        <v>#DIV/0!</v>
      </c>
      <c r="AQ29" s="184">
        <v>0</v>
      </c>
      <c r="AR29" s="167">
        <v>0</v>
      </c>
      <c r="AS29" s="167" t="e">
        <f t="shared" si="12"/>
        <v>#DIV/0!</v>
      </c>
      <c r="AT29" s="167">
        <v>0</v>
      </c>
      <c r="AU29" s="184" t="e">
        <f t="shared" si="13"/>
        <v>#DIV/0!</v>
      </c>
      <c r="AV29" s="184">
        <v>0</v>
      </c>
      <c r="AW29" s="167">
        <f>'Factor D Back Up'!D493</f>
        <v>0</v>
      </c>
      <c r="AX29" s="167">
        <f>'Factor D Back Up'!E493</f>
        <v>0</v>
      </c>
      <c r="AY29" s="167">
        <f>'Factor D Back Up'!F493</f>
        <v>0</v>
      </c>
      <c r="AZ29" s="184" t="e">
        <f>'Factor D Back Up'!G493</f>
        <v>#DIV/0!</v>
      </c>
      <c r="BA29" s="184">
        <f>'Factor D Back Up'!H493</f>
        <v>0</v>
      </c>
      <c r="BB29" s="175"/>
      <c r="BC29" s="175"/>
      <c r="BD29" s="175"/>
      <c r="BE29" s="185"/>
      <c r="BF29" s="185"/>
      <c r="BG29" s="175"/>
      <c r="BH29" s="175"/>
      <c r="BI29" s="175"/>
      <c r="BJ29" s="185"/>
      <c r="BK29" s="185"/>
      <c r="BL29" s="175"/>
      <c r="BM29" s="175"/>
      <c r="BN29" s="175"/>
      <c r="BO29" s="185"/>
      <c r="BP29" s="185"/>
      <c r="BQ29" s="175"/>
      <c r="BR29" s="175"/>
      <c r="BS29" s="175"/>
      <c r="BT29" s="185"/>
      <c r="BU29" s="185"/>
      <c r="BV29" s="175"/>
      <c r="BW29" s="175"/>
      <c r="BX29" s="175"/>
      <c r="BY29" s="185"/>
      <c r="BZ29" s="185"/>
      <c r="CB29" s="187">
        <f t="shared" si="14"/>
        <v>500</v>
      </c>
      <c r="CC29" s="187">
        <f>+'linked - DO NOT USE or DELETE'!H33+'linked - DO NOT USE or DELETE'!M33+'linked - DO NOT USE or DELETE'!R33</f>
        <v>0</v>
      </c>
      <c r="CD29" s="281">
        <f t="shared" si="15"/>
        <v>500</v>
      </c>
      <c r="CF29" s="576">
        <f t="shared" si="16"/>
        <v>500</v>
      </c>
    </row>
    <row r="30" spans="1:84" ht="15" customHeight="1" x14ac:dyDescent="0.25">
      <c r="A30" s="80" t="s">
        <v>132</v>
      </c>
      <c r="B30" s="165" t="s">
        <v>185</v>
      </c>
      <c r="C30" s="590" t="s">
        <v>153</v>
      </c>
      <c r="D30" s="167">
        <v>0</v>
      </c>
      <c r="E30" s="167" t="e">
        <f t="shared" si="57"/>
        <v>#DIV/0!</v>
      </c>
      <c r="F30" s="167">
        <v>0</v>
      </c>
      <c r="G30" s="184" t="e">
        <f t="shared" si="58"/>
        <v>#DIV/0!</v>
      </c>
      <c r="H30" s="184">
        <v>0</v>
      </c>
      <c r="I30" s="167">
        <v>0</v>
      </c>
      <c r="J30" s="167" t="e">
        <f t="shared" si="53"/>
        <v>#DIV/0!</v>
      </c>
      <c r="K30" s="167">
        <v>0</v>
      </c>
      <c r="L30" s="184" t="e">
        <f t="shared" si="54"/>
        <v>#DIV/0!</v>
      </c>
      <c r="M30" s="184">
        <v>0</v>
      </c>
      <c r="N30" s="167">
        <v>0</v>
      </c>
      <c r="O30" s="167" t="e">
        <f t="shared" si="55"/>
        <v>#DIV/0!</v>
      </c>
      <c r="P30" s="167">
        <v>0</v>
      </c>
      <c r="Q30" s="184" t="e">
        <f t="shared" si="56"/>
        <v>#DIV/0!</v>
      </c>
      <c r="R30" s="184">
        <v>0</v>
      </c>
      <c r="S30" s="167">
        <v>0</v>
      </c>
      <c r="T30" s="167" t="e">
        <f t="shared" si="4"/>
        <v>#DIV/0!</v>
      </c>
      <c r="U30" s="167">
        <v>0</v>
      </c>
      <c r="V30" s="184" t="e">
        <f t="shared" si="0"/>
        <v>#DIV/0!</v>
      </c>
      <c r="W30" s="184">
        <v>0</v>
      </c>
      <c r="X30" s="167">
        <v>0</v>
      </c>
      <c r="Y30" s="167" t="e">
        <f t="shared" si="5"/>
        <v>#DIV/0!</v>
      </c>
      <c r="Z30" s="167">
        <v>0</v>
      </c>
      <c r="AA30" s="184" t="e">
        <f t="shared" si="6"/>
        <v>#DIV/0!</v>
      </c>
      <c r="AB30" s="184">
        <v>0</v>
      </c>
      <c r="AC30" s="167">
        <v>0</v>
      </c>
      <c r="AD30" s="167" t="e">
        <f t="shared" si="7"/>
        <v>#DIV/0!</v>
      </c>
      <c r="AE30" s="167">
        <v>0</v>
      </c>
      <c r="AF30" s="184" t="e">
        <f t="shared" si="8"/>
        <v>#DIV/0!</v>
      </c>
      <c r="AG30" s="184">
        <v>0</v>
      </c>
      <c r="AH30" s="167">
        <v>0</v>
      </c>
      <c r="AI30" s="167" t="e">
        <f t="shared" si="9"/>
        <v>#DIV/0!</v>
      </c>
      <c r="AJ30" s="167">
        <v>0</v>
      </c>
      <c r="AK30" s="184" t="e">
        <f t="shared" si="1"/>
        <v>#DIV/0!</v>
      </c>
      <c r="AL30" s="184">
        <v>0</v>
      </c>
      <c r="AM30" s="167">
        <v>2</v>
      </c>
      <c r="AN30" s="167">
        <f t="shared" si="10"/>
        <v>1</v>
      </c>
      <c r="AO30" s="167">
        <v>2</v>
      </c>
      <c r="AP30" s="184">
        <f t="shared" si="11"/>
        <v>50</v>
      </c>
      <c r="AQ30" s="184">
        <v>100</v>
      </c>
      <c r="AR30" s="167">
        <v>1</v>
      </c>
      <c r="AS30" s="167">
        <f t="shared" si="12"/>
        <v>1</v>
      </c>
      <c r="AT30" s="167">
        <v>1</v>
      </c>
      <c r="AU30" s="184">
        <f t="shared" si="13"/>
        <v>50</v>
      </c>
      <c r="AV30" s="184">
        <v>50</v>
      </c>
      <c r="AW30" s="167">
        <f>'Factor D Back Up'!D506</f>
        <v>0</v>
      </c>
      <c r="AX30" s="167">
        <f>'Factor D Back Up'!E506</f>
        <v>1</v>
      </c>
      <c r="AY30" s="167">
        <f>'Factor D Back Up'!F506</f>
        <v>0</v>
      </c>
      <c r="AZ30" s="184">
        <f>'Factor D Back Up'!G506</f>
        <v>50</v>
      </c>
      <c r="BA30" s="184">
        <f>'Factor D Back Up'!H506</f>
        <v>0</v>
      </c>
      <c r="BB30" s="175">
        <f>'Factor D Back Up'!D507</f>
        <v>0</v>
      </c>
      <c r="BC30" s="175">
        <f>'Factor D Back Up'!E507</f>
        <v>0</v>
      </c>
      <c r="BD30" s="175">
        <f>'Factor D Back Up'!F507</f>
        <v>0</v>
      </c>
      <c r="BE30" s="185">
        <f>'Factor D Back Up'!G507</f>
        <v>51.3</v>
      </c>
      <c r="BF30" s="185">
        <f>'Factor D Back Up'!H507</f>
        <v>0</v>
      </c>
      <c r="BG30" s="175">
        <f>'Factor D Back Up'!D508</f>
        <v>0</v>
      </c>
      <c r="BH30" s="175">
        <f>'Factor D Back Up'!E508</f>
        <v>0</v>
      </c>
      <c r="BI30" s="175">
        <f>'Factor D Back Up'!F508</f>
        <v>0</v>
      </c>
      <c r="BJ30" s="185">
        <f>'Factor D Back Up'!G508</f>
        <v>52.633799999999994</v>
      </c>
      <c r="BK30" s="185">
        <f>'Factor D Back Up'!H508</f>
        <v>0</v>
      </c>
      <c r="BL30" s="175">
        <f>'Factor D Back Up'!D509</f>
        <v>0</v>
      </c>
      <c r="BM30" s="175">
        <f>'Factor D Back Up'!E509</f>
        <v>0</v>
      </c>
      <c r="BN30" s="175">
        <f>'Factor D Back Up'!F509</f>
        <v>0</v>
      </c>
      <c r="BO30" s="185">
        <f>'Factor D Back Up'!G509</f>
        <v>54.002278799999992</v>
      </c>
      <c r="BP30" s="185">
        <f>'Factor D Back Up'!H509</f>
        <v>0</v>
      </c>
      <c r="BQ30" s="175">
        <f>'Factor D Back Up'!D510</f>
        <v>0</v>
      </c>
      <c r="BR30" s="175">
        <f>'Factor D Back Up'!E510</f>
        <v>0</v>
      </c>
      <c r="BS30" s="175">
        <f>'Factor D Back Up'!F510</f>
        <v>0</v>
      </c>
      <c r="BT30" s="185">
        <f>'Factor D Back Up'!G510</f>
        <v>55.406338048799995</v>
      </c>
      <c r="BU30" s="185">
        <f>'Factor D Back Up'!H510</f>
        <v>0</v>
      </c>
      <c r="BV30" s="175">
        <f>'Factor D Back Up'!D511</f>
        <v>0</v>
      </c>
      <c r="BW30" s="175">
        <f>'Factor D Back Up'!E511</f>
        <v>0</v>
      </c>
      <c r="BX30" s="175">
        <f>'Factor D Back Up'!F511</f>
        <v>0</v>
      </c>
      <c r="BY30" s="185">
        <f>'Factor D Back Up'!G511</f>
        <v>56.846902838068793</v>
      </c>
      <c r="BZ30" s="185">
        <f>'Factor D Back Up'!H511</f>
        <v>0</v>
      </c>
      <c r="CB30" s="187">
        <f t="shared" si="14"/>
        <v>150</v>
      </c>
      <c r="CC30" s="187">
        <f>+'linked - DO NOT USE or DELETE'!H34+'linked - DO NOT USE or DELETE'!M34+'linked - DO NOT USE or DELETE'!R34</f>
        <v>0</v>
      </c>
      <c r="CD30" s="281">
        <f t="shared" si="15"/>
        <v>150</v>
      </c>
      <c r="CF30" s="576">
        <f t="shared" si="16"/>
        <v>150</v>
      </c>
    </row>
    <row r="31" spans="1:84" ht="15" customHeight="1" x14ac:dyDescent="0.25">
      <c r="A31" s="80" t="s">
        <v>133</v>
      </c>
      <c r="B31" s="165" t="s">
        <v>134</v>
      </c>
      <c r="C31" s="590" t="s">
        <v>47</v>
      </c>
      <c r="D31" s="167">
        <v>0</v>
      </c>
      <c r="E31" s="167" t="e">
        <f t="shared" si="57"/>
        <v>#DIV/0!</v>
      </c>
      <c r="F31" s="167">
        <v>0</v>
      </c>
      <c r="G31" s="184" t="e">
        <f t="shared" si="58"/>
        <v>#DIV/0!</v>
      </c>
      <c r="H31" s="184">
        <v>0</v>
      </c>
      <c r="I31" s="167">
        <v>0</v>
      </c>
      <c r="J31" s="167" t="e">
        <f t="shared" si="53"/>
        <v>#DIV/0!</v>
      </c>
      <c r="K31" s="167">
        <v>0</v>
      </c>
      <c r="L31" s="184" t="e">
        <f t="shared" si="54"/>
        <v>#DIV/0!</v>
      </c>
      <c r="M31" s="184">
        <v>0</v>
      </c>
      <c r="N31" s="167">
        <v>0</v>
      </c>
      <c r="O31" s="167" t="e">
        <f t="shared" si="55"/>
        <v>#DIV/0!</v>
      </c>
      <c r="P31" s="167">
        <v>0</v>
      </c>
      <c r="Q31" s="184" t="e">
        <f t="shared" si="56"/>
        <v>#DIV/0!</v>
      </c>
      <c r="R31" s="184">
        <v>0</v>
      </c>
      <c r="S31" s="167">
        <v>0</v>
      </c>
      <c r="T31" s="167" t="e">
        <f t="shared" si="4"/>
        <v>#DIV/0!</v>
      </c>
      <c r="U31" s="167">
        <v>0</v>
      </c>
      <c r="V31" s="184" t="e">
        <f t="shared" si="0"/>
        <v>#DIV/0!</v>
      </c>
      <c r="W31" s="184">
        <v>0</v>
      </c>
      <c r="X31" s="167">
        <v>0</v>
      </c>
      <c r="Y31" s="167" t="e">
        <f t="shared" si="5"/>
        <v>#DIV/0!</v>
      </c>
      <c r="Z31" s="167">
        <v>0</v>
      </c>
      <c r="AA31" s="184" t="e">
        <f t="shared" si="6"/>
        <v>#DIV/0!</v>
      </c>
      <c r="AB31" s="184">
        <v>0</v>
      </c>
      <c r="AC31" s="167">
        <v>0</v>
      </c>
      <c r="AD31" s="167" t="e">
        <f t="shared" si="7"/>
        <v>#DIV/0!</v>
      </c>
      <c r="AE31" s="167">
        <v>0</v>
      </c>
      <c r="AF31" s="184" t="e">
        <f t="shared" si="8"/>
        <v>#DIV/0!</v>
      </c>
      <c r="AG31" s="184">
        <v>0</v>
      </c>
      <c r="AH31" s="167">
        <v>2</v>
      </c>
      <c r="AI31" s="167">
        <f t="shared" si="9"/>
        <v>1.5</v>
      </c>
      <c r="AJ31" s="167">
        <v>3</v>
      </c>
      <c r="AK31" s="184">
        <f t="shared" si="1"/>
        <v>30</v>
      </c>
      <c r="AL31" s="184">
        <v>90</v>
      </c>
      <c r="AM31" s="167">
        <v>3</v>
      </c>
      <c r="AN31" s="167">
        <f t="shared" si="10"/>
        <v>9</v>
      </c>
      <c r="AO31" s="167">
        <v>27</v>
      </c>
      <c r="AP31" s="184">
        <f t="shared" si="11"/>
        <v>30</v>
      </c>
      <c r="AQ31" s="184">
        <v>810</v>
      </c>
      <c r="AR31" s="167">
        <v>3</v>
      </c>
      <c r="AS31" s="167">
        <f t="shared" si="12"/>
        <v>4</v>
      </c>
      <c r="AT31" s="167">
        <v>12</v>
      </c>
      <c r="AU31" s="184">
        <f t="shared" si="13"/>
        <v>30</v>
      </c>
      <c r="AV31" s="184">
        <v>360</v>
      </c>
      <c r="AW31" s="167">
        <f>'Factor D Back Up'!D524</f>
        <v>0</v>
      </c>
      <c r="AX31" s="167">
        <f>'Factor D Back Up'!E524</f>
        <v>1</v>
      </c>
      <c r="AY31" s="167">
        <f>'Factor D Back Up'!F524</f>
        <v>0</v>
      </c>
      <c r="AZ31" s="184">
        <f>'Factor D Back Up'!G524</f>
        <v>30.7</v>
      </c>
      <c r="BA31" s="184">
        <f>'Factor D Back Up'!H524</f>
        <v>0</v>
      </c>
      <c r="BB31" s="175">
        <f>'Factor D Back Up'!D525</f>
        <v>0</v>
      </c>
      <c r="BC31" s="175">
        <f>'Factor D Back Up'!E525</f>
        <v>0</v>
      </c>
      <c r="BD31" s="175">
        <f>'Factor D Back Up'!F525</f>
        <v>0</v>
      </c>
      <c r="BE31" s="185">
        <f>'Factor D Back Up'!G525</f>
        <v>31.498200000000001</v>
      </c>
      <c r="BF31" s="185">
        <f>'Factor D Back Up'!H525</f>
        <v>0</v>
      </c>
      <c r="BG31" s="175">
        <f>'Factor D Back Up'!D526</f>
        <v>0</v>
      </c>
      <c r="BH31" s="175">
        <f>'Factor D Back Up'!E526</f>
        <v>0</v>
      </c>
      <c r="BI31" s="175">
        <f>'Factor D Back Up'!F526</f>
        <v>0</v>
      </c>
      <c r="BJ31" s="185">
        <f>'Factor D Back Up'!G526</f>
        <v>32.3171532</v>
      </c>
      <c r="BK31" s="185">
        <f>'Factor D Back Up'!H526</f>
        <v>0</v>
      </c>
      <c r="BL31" s="175">
        <f>'Factor D Back Up'!D527</f>
        <v>0</v>
      </c>
      <c r="BM31" s="175">
        <f>'Factor D Back Up'!E527</f>
        <v>0</v>
      </c>
      <c r="BN31" s="175">
        <f>'Factor D Back Up'!F527</f>
        <v>0</v>
      </c>
      <c r="BO31" s="185">
        <f>'Factor D Back Up'!G527</f>
        <v>33.157399183199999</v>
      </c>
      <c r="BP31" s="185">
        <f>'Factor D Back Up'!H527</f>
        <v>0</v>
      </c>
      <c r="BQ31" s="175">
        <f>'Factor D Back Up'!D528</f>
        <v>0</v>
      </c>
      <c r="BR31" s="175">
        <f>'Factor D Back Up'!E528</f>
        <v>0</v>
      </c>
      <c r="BS31" s="175">
        <f>'Factor D Back Up'!F528</f>
        <v>0</v>
      </c>
      <c r="BT31" s="185">
        <f>'Factor D Back Up'!G528</f>
        <v>34.0194915619632</v>
      </c>
      <c r="BU31" s="185">
        <f>'Factor D Back Up'!H528</f>
        <v>0</v>
      </c>
      <c r="BV31" s="175">
        <f>'Factor D Back Up'!D529</f>
        <v>0</v>
      </c>
      <c r="BW31" s="175">
        <f>'Factor D Back Up'!E529</f>
        <v>0</v>
      </c>
      <c r="BX31" s="175">
        <f>'Factor D Back Up'!F529</f>
        <v>0</v>
      </c>
      <c r="BY31" s="185">
        <f>'Factor D Back Up'!G529</f>
        <v>34.903998342574241</v>
      </c>
      <c r="BZ31" s="185">
        <f>'Factor D Back Up'!H529</f>
        <v>0</v>
      </c>
      <c r="CB31" s="187">
        <f t="shared" si="14"/>
        <v>1260</v>
      </c>
      <c r="CC31" s="187">
        <f>+'linked - DO NOT USE or DELETE'!H35+'linked - DO NOT USE or DELETE'!M35+'linked - DO NOT USE or DELETE'!R35</f>
        <v>0</v>
      </c>
      <c r="CD31" s="281">
        <f t="shared" si="15"/>
        <v>1260</v>
      </c>
      <c r="CF31" s="576">
        <f t="shared" si="16"/>
        <v>1260</v>
      </c>
    </row>
    <row r="32" spans="1:84" ht="15" customHeight="1" x14ac:dyDescent="0.25">
      <c r="A32" s="80" t="s">
        <v>220</v>
      </c>
      <c r="B32" s="165"/>
      <c r="C32" s="291"/>
      <c r="D32" s="167">
        <v>0</v>
      </c>
      <c r="E32" s="167" t="e">
        <f t="shared" si="57"/>
        <v>#DIV/0!</v>
      </c>
      <c r="F32" s="167">
        <v>0</v>
      </c>
      <c r="G32" s="184" t="e">
        <f t="shared" si="58"/>
        <v>#DIV/0!</v>
      </c>
      <c r="H32" s="184">
        <v>0</v>
      </c>
      <c r="I32" s="167">
        <v>0</v>
      </c>
      <c r="J32" s="167" t="e">
        <f t="shared" si="53"/>
        <v>#DIV/0!</v>
      </c>
      <c r="K32" s="167">
        <v>0</v>
      </c>
      <c r="L32" s="184" t="e">
        <f t="shared" si="54"/>
        <v>#DIV/0!</v>
      </c>
      <c r="M32" s="184">
        <v>0</v>
      </c>
      <c r="N32" s="167">
        <v>0</v>
      </c>
      <c r="O32" s="167" t="e">
        <f t="shared" si="55"/>
        <v>#DIV/0!</v>
      </c>
      <c r="P32" s="167">
        <v>0</v>
      </c>
      <c r="Q32" s="184" t="e">
        <f t="shared" si="56"/>
        <v>#DIV/0!</v>
      </c>
      <c r="R32" s="184">
        <v>0</v>
      </c>
      <c r="S32" s="167">
        <v>0</v>
      </c>
      <c r="T32" s="167" t="e">
        <f t="shared" si="4"/>
        <v>#DIV/0!</v>
      </c>
      <c r="U32" s="167">
        <v>0</v>
      </c>
      <c r="V32" s="184" t="e">
        <f t="shared" si="0"/>
        <v>#DIV/0!</v>
      </c>
      <c r="W32" s="184">
        <v>0</v>
      </c>
      <c r="X32" s="167">
        <v>0</v>
      </c>
      <c r="Y32" s="167" t="e">
        <f t="shared" si="5"/>
        <v>#DIV/0!</v>
      </c>
      <c r="Z32" s="167">
        <v>0</v>
      </c>
      <c r="AA32" s="184" t="e">
        <f t="shared" si="6"/>
        <v>#DIV/0!</v>
      </c>
      <c r="AB32" s="184">
        <v>0</v>
      </c>
      <c r="AC32" s="167">
        <v>0</v>
      </c>
      <c r="AD32" s="167" t="e">
        <f t="shared" si="7"/>
        <v>#DIV/0!</v>
      </c>
      <c r="AE32" s="167">
        <v>0</v>
      </c>
      <c r="AF32" s="184" t="e">
        <f t="shared" si="8"/>
        <v>#DIV/0!</v>
      </c>
      <c r="AG32" s="184">
        <v>0</v>
      </c>
      <c r="AH32" s="167">
        <v>0</v>
      </c>
      <c r="AI32" s="167" t="e">
        <f t="shared" si="9"/>
        <v>#DIV/0!</v>
      </c>
      <c r="AJ32" s="167">
        <v>0</v>
      </c>
      <c r="AK32" s="184" t="e">
        <f t="shared" si="1"/>
        <v>#DIV/0!</v>
      </c>
      <c r="AL32" s="184">
        <v>0</v>
      </c>
      <c r="AM32" s="167">
        <v>0</v>
      </c>
      <c r="AN32" s="167" t="e">
        <f t="shared" si="10"/>
        <v>#DIV/0!</v>
      </c>
      <c r="AO32" s="167">
        <v>0</v>
      </c>
      <c r="AP32" s="184" t="e">
        <f t="shared" si="11"/>
        <v>#DIV/0!</v>
      </c>
      <c r="AQ32" s="184">
        <v>0</v>
      </c>
      <c r="AR32" s="167">
        <v>0</v>
      </c>
      <c r="AS32" s="167" t="e">
        <f t="shared" si="12"/>
        <v>#DIV/0!</v>
      </c>
      <c r="AT32" s="167">
        <v>0</v>
      </c>
      <c r="AU32" s="184" t="e">
        <f t="shared" si="13"/>
        <v>#DIV/0!</v>
      </c>
      <c r="AV32" s="184">
        <v>0</v>
      </c>
      <c r="AW32" s="167">
        <f>'Factor D Back Up'!D542</f>
        <v>0</v>
      </c>
      <c r="AX32" s="167">
        <f>'Factor D Back Up'!E542</f>
        <v>0</v>
      </c>
      <c r="AY32" s="167">
        <f>'Factor D Back Up'!F542</f>
        <v>0</v>
      </c>
      <c r="AZ32" s="184" t="e">
        <f>'Factor D Back Up'!G542</f>
        <v>#DIV/0!</v>
      </c>
      <c r="BA32" s="184">
        <f>'Factor D Back Up'!H542</f>
        <v>0</v>
      </c>
      <c r="BB32" s="175"/>
      <c r="BC32" s="175"/>
      <c r="BD32" s="175"/>
      <c r="BE32" s="185"/>
      <c r="BF32" s="185"/>
      <c r="BG32" s="175"/>
      <c r="BH32" s="175"/>
      <c r="BI32" s="175"/>
      <c r="BJ32" s="185"/>
      <c r="BK32" s="185"/>
      <c r="BL32" s="175"/>
      <c r="BM32" s="175"/>
      <c r="BN32" s="175"/>
      <c r="BO32" s="185"/>
      <c r="BP32" s="185"/>
      <c r="BQ32" s="175"/>
      <c r="BR32" s="175"/>
      <c r="BS32" s="175"/>
      <c r="BT32" s="185"/>
      <c r="BU32" s="185"/>
      <c r="BV32" s="175"/>
      <c r="BW32" s="175"/>
      <c r="BX32" s="175"/>
      <c r="BY32" s="185"/>
      <c r="BZ32" s="185"/>
      <c r="CB32" s="187">
        <f t="shared" si="14"/>
        <v>0</v>
      </c>
      <c r="CC32" s="187">
        <f>+'linked - DO NOT USE or DELETE'!H36+'linked - DO NOT USE or DELETE'!M36+'linked - DO NOT USE or DELETE'!R36</f>
        <v>0</v>
      </c>
      <c r="CD32" s="281">
        <f t="shared" si="15"/>
        <v>0</v>
      </c>
      <c r="CF32" s="573">
        <f t="shared" si="16"/>
        <v>0</v>
      </c>
    </row>
    <row r="33" spans="1:87" ht="15" customHeight="1" x14ac:dyDescent="0.25">
      <c r="A33" s="80" t="s">
        <v>221</v>
      </c>
      <c r="B33" s="165" t="s">
        <v>184</v>
      </c>
      <c r="C33" s="590" t="s">
        <v>152</v>
      </c>
      <c r="D33" s="167">
        <v>332</v>
      </c>
      <c r="E33" s="167">
        <f>F33/D33</f>
        <v>3855.7921686746986</v>
      </c>
      <c r="F33" s="167">
        <v>1280123</v>
      </c>
      <c r="G33" s="184">
        <f>H33/F33</f>
        <v>5.1312408417003681</v>
      </c>
      <c r="H33" s="184">
        <v>6568619.4199999999</v>
      </c>
      <c r="I33" s="167">
        <v>320</v>
      </c>
      <c r="J33" s="167">
        <f>K33/I33</f>
        <v>5016.5</v>
      </c>
      <c r="K33" s="167">
        <v>1605280</v>
      </c>
      <c r="L33" s="184">
        <f>M33/K33</f>
        <v>5.1346215987242108</v>
      </c>
      <c r="M33" s="184">
        <v>8242505.3600000003</v>
      </c>
      <c r="N33" s="167">
        <v>359</v>
      </c>
      <c r="O33" s="167">
        <f>P33/N33</f>
        <v>5082.1559888579386</v>
      </c>
      <c r="P33" s="167">
        <v>1824494</v>
      </c>
      <c r="Q33" s="184">
        <f>R33/P33</f>
        <v>5.1177936238759898</v>
      </c>
      <c r="R33" s="184">
        <v>9337383.7599999998</v>
      </c>
      <c r="S33" s="167">
        <v>380</v>
      </c>
      <c r="T33" s="167">
        <f t="shared" si="4"/>
        <v>5521.3183947368425</v>
      </c>
      <c r="U33" s="167">
        <v>2098100.9900000002</v>
      </c>
      <c r="V33" s="184">
        <f t="shared" si="0"/>
        <v>5.1479100155231317</v>
      </c>
      <c r="W33" s="184">
        <v>10800835.1</v>
      </c>
      <c r="X33" s="167">
        <v>422</v>
      </c>
      <c r="Y33" s="167">
        <f t="shared" si="5"/>
        <v>5707.8856161137437</v>
      </c>
      <c r="Z33" s="167">
        <v>2408727.73</v>
      </c>
      <c r="AA33" s="184">
        <f t="shared" si="6"/>
        <v>5.1488801476122008</v>
      </c>
      <c r="AB33" s="184">
        <v>12402250.390000001</v>
      </c>
      <c r="AC33" s="167">
        <v>827</v>
      </c>
      <c r="AD33" s="167">
        <f t="shared" si="7"/>
        <v>3454.8839177750906</v>
      </c>
      <c r="AE33" s="167">
        <v>2857189</v>
      </c>
      <c r="AF33" s="184">
        <f t="shared" si="8"/>
        <v>5.2135698408470708</v>
      </c>
      <c r="AG33" s="184">
        <v>14896154.4</v>
      </c>
      <c r="AH33" s="167">
        <v>873</v>
      </c>
      <c r="AI33" s="167">
        <f t="shared" si="9"/>
        <v>3634.1271477663231</v>
      </c>
      <c r="AJ33" s="167">
        <v>3172593</v>
      </c>
      <c r="AK33" s="184">
        <f t="shared" si="1"/>
        <v>5.2796124967810245</v>
      </c>
      <c r="AL33" s="184">
        <v>16750061.65</v>
      </c>
      <c r="AM33" s="167">
        <v>509</v>
      </c>
      <c r="AN33" s="167">
        <f t="shared" si="10"/>
        <v>6842.5245579567782</v>
      </c>
      <c r="AO33" s="167">
        <v>3482845</v>
      </c>
      <c r="AP33" s="184">
        <f t="shared" si="11"/>
        <v>5.7083939595359539</v>
      </c>
      <c r="AQ33" s="184">
        <v>19881451.359999999</v>
      </c>
      <c r="AR33" s="167">
        <v>555</v>
      </c>
      <c r="AS33" s="167">
        <f t="shared" si="12"/>
        <v>6796.6054054054057</v>
      </c>
      <c r="AT33" s="167">
        <v>3772116</v>
      </c>
      <c r="AU33" s="184">
        <f t="shared" si="13"/>
        <v>5.7839296113905299</v>
      </c>
      <c r="AV33" s="184">
        <v>21817653.43</v>
      </c>
      <c r="AW33" s="167">
        <f>'Factor D Back Up'!D555</f>
        <v>568</v>
      </c>
      <c r="AX33" s="167">
        <f>'Factor D Back Up'!E555</f>
        <v>6124.5465603914399</v>
      </c>
      <c r="AY33" s="167">
        <f>'Factor D Back Up'!F555</f>
        <v>3478742.446302338</v>
      </c>
      <c r="AZ33" s="184">
        <f>'Factor D Back Up'!G555</f>
        <v>5.88</v>
      </c>
      <c r="BA33" s="184">
        <f>'Factor D Back Up'!H555</f>
        <v>20455005.584257748</v>
      </c>
      <c r="BB33" s="167">
        <f>'Factor D Back Up'!D556</f>
        <v>638</v>
      </c>
      <c r="BC33" s="167">
        <f>'Factor D Back Up'!E556</f>
        <v>6329.1938014189091</v>
      </c>
      <c r="BD33" s="167">
        <f>'Factor D Back Up'!F556</f>
        <v>4038025.6453052638</v>
      </c>
      <c r="BE33" s="184">
        <f>'Factor D Back Up'!G556</f>
        <v>6.0328799999999996</v>
      </c>
      <c r="BF33" s="184">
        <f>'Factor D Back Up'!H556</f>
        <v>24360924.15504922</v>
      </c>
      <c r="BG33" s="167">
        <f>'Factor D Back Up'!D557</f>
        <v>688</v>
      </c>
      <c r="BH33" s="167">
        <f>'Factor D Back Up'!E557</f>
        <v>6533.8410424463791</v>
      </c>
      <c r="BI33" s="167">
        <f>'Factor D Back Up'!F557</f>
        <v>4495282.6372031085</v>
      </c>
      <c r="BJ33" s="184">
        <f>'Factor D Back Up'!G557</f>
        <v>6.1897348799999996</v>
      </c>
      <c r="BK33" s="184">
        <f>'Factor D Back Up'!H557</f>
        <v>27824607.734954465</v>
      </c>
      <c r="BL33" s="167">
        <f>'Factor D Back Up'!D558</f>
        <v>718</v>
      </c>
      <c r="BM33" s="167">
        <f>'Factor D Back Up'!E558</f>
        <v>6738.4882834738492</v>
      </c>
      <c r="BN33" s="167">
        <f>'Factor D Back Up'!F558</f>
        <v>4838234.5875342237</v>
      </c>
      <c r="BO33" s="184">
        <f>'Factor D Back Up'!G558</f>
        <v>6.3506679868799996</v>
      </c>
      <c r="BP33" s="184">
        <f>'Factor D Back Up'!H558</f>
        <v>30726021.508069154</v>
      </c>
      <c r="BQ33" s="167">
        <f>'Factor D Back Up'!D559</f>
        <v>748</v>
      </c>
      <c r="BR33" s="167">
        <f>'Factor D Back Up'!E559</f>
        <v>6943.1355245013183</v>
      </c>
      <c r="BS33" s="167">
        <f>'Factor D Back Up'!F559</f>
        <v>5193465.3723269859</v>
      </c>
      <c r="BT33" s="184">
        <f>'Factor D Back Up'!G559</f>
        <v>6.5157853545388793</v>
      </c>
      <c r="BU33" s="184">
        <f>'Factor D Back Up'!H559</f>
        <v>33839505.61231298</v>
      </c>
      <c r="BV33" s="167">
        <f>'Factor D Back Up'!D560</f>
        <v>778</v>
      </c>
      <c r="BW33" s="167">
        <f>'Factor D Back Up'!E560</f>
        <v>7147.7827655287874</v>
      </c>
      <c r="BX33" s="167">
        <f>'Factor D Back Up'!F560</f>
        <v>5560974.9915813962</v>
      </c>
      <c r="BY33" s="184">
        <f>'Factor D Back Up'!G560</f>
        <v>6.6851957737568899</v>
      </c>
      <c r="BZ33" s="184">
        <f>'Factor D Back Up'!H560</f>
        <v>37176206.511687703</v>
      </c>
      <c r="CB33" s="187">
        <f t="shared" si="14"/>
        <v>270930677.43633127</v>
      </c>
      <c r="CC33" s="187">
        <f>+'linked - DO NOT USE or DELETE'!H37+'linked - DO NOT USE or DELETE'!M37+'linked - DO NOT USE or DELETE'!R37</f>
        <v>24148508.539999999</v>
      </c>
      <c r="CD33" s="281">
        <f t="shared" si="15"/>
        <v>295079185.97633129</v>
      </c>
      <c r="CF33" s="576">
        <f t="shared" si="16"/>
        <v>295079185.97633129</v>
      </c>
    </row>
    <row r="34" spans="1:87" ht="15" customHeight="1" x14ac:dyDescent="0.25">
      <c r="A34" s="81" t="s">
        <v>282</v>
      </c>
      <c r="B34" s="165" t="s">
        <v>184</v>
      </c>
      <c r="C34" s="590" t="s">
        <v>135</v>
      </c>
      <c r="D34" s="167">
        <v>16</v>
      </c>
      <c r="E34" s="167">
        <f>F34/D34</f>
        <v>102.1875</v>
      </c>
      <c r="F34" s="167">
        <v>1635</v>
      </c>
      <c r="G34" s="184">
        <f>H34/F34</f>
        <v>135.41284403669724</v>
      </c>
      <c r="H34" s="184">
        <v>221400</v>
      </c>
      <c r="I34" s="167">
        <v>23</v>
      </c>
      <c r="J34" s="167">
        <f>K34/I34</f>
        <v>245</v>
      </c>
      <c r="K34" s="167">
        <v>5635</v>
      </c>
      <c r="L34" s="184">
        <f>M34/K34</f>
        <v>136</v>
      </c>
      <c r="M34" s="184">
        <v>766360</v>
      </c>
      <c r="N34" s="167">
        <v>21</v>
      </c>
      <c r="O34" s="167">
        <f>P34/N34</f>
        <v>302</v>
      </c>
      <c r="P34" s="167">
        <v>6342</v>
      </c>
      <c r="Q34" s="184">
        <f>R34/P34</f>
        <v>136</v>
      </c>
      <c r="R34" s="184">
        <v>862512</v>
      </c>
      <c r="S34" s="167">
        <v>26</v>
      </c>
      <c r="T34" s="167">
        <f t="shared" si="4"/>
        <v>216.84615384615384</v>
      </c>
      <c r="U34" s="167">
        <v>5638</v>
      </c>
      <c r="V34" s="184">
        <f t="shared" si="0"/>
        <v>135.96140475345868</v>
      </c>
      <c r="W34" s="184">
        <v>766550.4</v>
      </c>
      <c r="X34" s="167">
        <v>19</v>
      </c>
      <c r="Y34" s="167">
        <f t="shared" si="5"/>
        <v>229.52631578947367</v>
      </c>
      <c r="Z34" s="167">
        <v>4361</v>
      </c>
      <c r="AA34" s="184">
        <f t="shared" si="6"/>
        <v>135.93825269433614</v>
      </c>
      <c r="AB34" s="184">
        <v>592826.72</v>
      </c>
      <c r="AC34" s="167">
        <v>31</v>
      </c>
      <c r="AD34" s="167">
        <f t="shared" si="7"/>
        <v>149.70967741935485</v>
      </c>
      <c r="AE34" s="167">
        <v>4641</v>
      </c>
      <c r="AF34" s="184">
        <f t="shared" si="8"/>
        <v>136</v>
      </c>
      <c r="AG34" s="184">
        <v>631176</v>
      </c>
      <c r="AH34" s="167">
        <v>43</v>
      </c>
      <c r="AI34" s="167">
        <f t="shared" si="9"/>
        <v>150.55813953488371</v>
      </c>
      <c r="AJ34" s="167">
        <v>6474</v>
      </c>
      <c r="AK34" s="184">
        <f t="shared" si="1"/>
        <v>137.04263206672846</v>
      </c>
      <c r="AL34" s="184">
        <v>887214</v>
      </c>
      <c r="AM34" s="167">
        <v>39</v>
      </c>
      <c r="AN34" s="167">
        <f t="shared" si="10"/>
        <v>259.02564102564105</v>
      </c>
      <c r="AO34" s="167">
        <v>10102</v>
      </c>
      <c r="AP34" s="184">
        <f t="shared" si="11"/>
        <v>142.48847653929917</v>
      </c>
      <c r="AQ34" s="184">
        <v>1439418.59</v>
      </c>
      <c r="AR34" s="167">
        <v>37</v>
      </c>
      <c r="AS34" s="167">
        <f t="shared" si="12"/>
        <v>283.10810810810813</v>
      </c>
      <c r="AT34" s="167">
        <v>10475</v>
      </c>
      <c r="AU34" s="184">
        <f t="shared" si="13"/>
        <v>149.81803341288781</v>
      </c>
      <c r="AV34" s="184">
        <v>1569343.9</v>
      </c>
      <c r="AW34" s="167">
        <f>'Factor D Back Up'!D586</f>
        <v>37</v>
      </c>
      <c r="AX34" s="167">
        <f>'Factor D Back Up'!E586</f>
        <v>248.30732270420651</v>
      </c>
      <c r="AY34" s="167">
        <f>'Factor D Back Up'!F586</f>
        <v>9187.3709400556418</v>
      </c>
      <c r="AZ34" s="184">
        <f>'Factor D Back Up'!G586</f>
        <v>153.56</v>
      </c>
      <c r="BA34" s="184">
        <f>'Factor D Back Up'!H586</f>
        <v>1410812.6815549443</v>
      </c>
      <c r="BB34" s="167">
        <f>'Factor D Back Up'!D587</f>
        <v>34</v>
      </c>
      <c r="BC34" s="167">
        <f>'Factor D Back Up'!E587</f>
        <v>254.90297534007857</v>
      </c>
      <c r="BD34" s="167">
        <f>'Factor D Back Up'!F587</f>
        <v>8666.7011615626707</v>
      </c>
      <c r="BE34" s="184">
        <f>'Factor D Back Up'!G587</f>
        <v>157.55256</v>
      </c>
      <c r="BF34" s="184">
        <f>'Factor D Back Up'!H587</f>
        <v>1365460.9547591724</v>
      </c>
      <c r="BG34" s="167">
        <f>'Factor D Back Up'!D588</f>
        <v>33</v>
      </c>
      <c r="BH34" s="167">
        <f>'Factor D Back Up'!E588</f>
        <v>261.49862797595063</v>
      </c>
      <c r="BI34" s="167">
        <f>'Factor D Back Up'!F588</f>
        <v>8629.4547232063705</v>
      </c>
      <c r="BJ34" s="184">
        <f>'Factor D Back Up'!G588</f>
        <v>161.64892656000001</v>
      </c>
      <c r="BK34" s="184">
        <f>'Factor D Back Up'!H588</f>
        <v>1394942.0928044317</v>
      </c>
      <c r="BL34" s="167">
        <f>'Factor D Back Up'!D589</f>
        <v>32</v>
      </c>
      <c r="BM34" s="167">
        <f>'Factor D Back Up'!E589</f>
        <v>268.09428061182268</v>
      </c>
      <c r="BN34" s="167">
        <f>'Factor D Back Up'!F589</f>
        <v>8579.0169795783258</v>
      </c>
      <c r="BO34" s="184">
        <f>'Factor D Back Up'!G589</f>
        <v>165.85179865056</v>
      </c>
      <c r="BP34" s="184">
        <f>'Factor D Back Up'!H589</f>
        <v>1422845.39671676</v>
      </c>
      <c r="BQ34" s="167">
        <f>'Factor D Back Up'!D590</f>
        <v>31</v>
      </c>
      <c r="BR34" s="167">
        <f>'Factor D Back Up'!E590</f>
        <v>274.68993324769474</v>
      </c>
      <c r="BS34" s="167">
        <f>'Factor D Back Up'!F590</f>
        <v>8515.3879306785366</v>
      </c>
      <c r="BT34" s="184">
        <f>'Factor D Back Up'!G590</f>
        <v>170.16394541547456</v>
      </c>
      <c r="BU34" s="184">
        <f>'Factor D Back Up'!H590</f>
        <v>1449012.0070275734</v>
      </c>
      <c r="BV34" s="167">
        <f>'Factor D Back Up'!D591</f>
        <v>30</v>
      </c>
      <c r="BW34" s="167">
        <f>'Factor D Back Up'!E591</f>
        <v>281.28558588356685</v>
      </c>
      <c r="BX34" s="167">
        <f>'Factor D Back Up'!F591</f>
        <v>8438.5675765070064</v>
      </c>
      <c r="BY34" s="184">
        <f>'Factor D Back Up'!G591</f>
        <v>174.58820799627691</v>
      </c>
      <c r="BZ34" s="184">
        <f>'Factor D Back Up'!H591</f>
        <v>1473274.3912378435</v>
      </c>
      <c r="CB34" s="187">
        <f t="shared" si="14"/>
        <v>14402877.134100726</v>
      </c>
      <c r="CC34" s="187">
        <f>+'linked - DO NOT USE or DELETE'!H39+'linked - DO NOT USE or DELETE'!M39+'linked - DO NOT USE or DELETE'!R39</f>
        <v>1850272</v>
      </c>
      <c r="CD34" s="281">
        <f t="shared" si="15"/>
        <v>16253149.134100726</v>
      </c>
      <c r="CF34" s="576">
        <f t="shared" si="16"/>
        <v>16253149.134100726</v>
      </c>
    </row>
    <row r="35" spans="1:87" ht="15" customHeight="1" x14ac:dyDescent="0.25">
      <c r="A35" s="81" t="s">
        <v>281</v>
      </c>
      <c r="B35" s="165" t="s">
        <v>184</v>
      </c>
      <c r="C35" s="590" t="s">
        <v>135</v>
      </c>
      <c r="D35" s="167">
        <v>7</v>
      </c>
      <c r="E35" s="167">
        <f>F35/D35</f>
        <v>99.714285714285708</v>
      </c>
      <c r="F35" s="167">
        <v>698</v>
      </c>
      <c r="G35" s="184">
        <f>H35/F35</f>
        <v>150.47277936962752</v>
      </c>
      <c r="H35" s="184">
        <v>105030</v>
      </c>
      <c r="I35" s="167">
        <v>25</v>
      </c>
      <c r="J35" s="167">
        <f>K35/I35</f>
        <v>152.52000000000001</v>
      </c>
      <c r="K35" s="167">
        <v>3813</v>
      </c>
      <c r="L35" s="184">
        <f>M35/K35</f>
        <v>152.89299763965383</v>
      </c>
      <c r="M35" s="184">
        <v>582981</v>
      </c>
      <c r="N35" s="167">
        <v>39</v>
      </c>
      <c r="O35" s="167">
        <f>P35/N35</f>
        <v>239.25641025641025</v>
      </c>
      <c r="P35" s="167">
        <v>9331</v>
      </c>
      <c r="Q35" s="184">
        <f>R35/P35</f>
        <v>152.95080913085414</v>
      </c>
      <c r="R35" s="184">
        <v>1427184</v>
      </c>
      <c r="S35" s="167">
        <v>58</v>
      </c>
      <c r="T35" s="167">
        <f t="shared" si="4"/>
        <v>198.91379310344828</v>
      </c>
      <c r="U35" s="167">
        <v>11537</v>
      </c>
      <c r="V35" s="184">
        <f t="shared" si="0"/>
        <v>152.28755309005808</v>
      </c>
      <c r="W35" s="184">
        <v>1756941.5</v>
      </c>
      <c r="X35" s="167">
        <v>59</v>
      </c>
      <c r="Y35" s="167">
        <f t="shared" si="5"/>
        <v>270.89830508474574</v>
      </c>
      <c r="Z35" s="167">
        <v>15983</v>
      </c>
      <c r="AA35" s="184">
        <f t="shared" si="6"/>
        <v>152.88087342801728</v>
      </c>
      <c r="AB35" s="184">
        <v>2443495</v>
      </c>
      <c r="AC35" s="167">
        <v>113</v>
      </c>
      <c r="AD35" s="167">
        <f t="shared" si="7"/>
        <v>152.31858407079645</v>
      </c>
      <c r="AE35" s="167">
        <v>17212</v>
      </c>
      <c r="AF35" s="184">
        <f t="shared" si="8"/>
        <v>153</v>
      </c>
      <c r="AG35" s="184">
        <v>2633436</v>
      </c>
      <c r="AH35" s="167">
        <v>101</v>
      </c>
      <c r="AI35" s="167">
        <f t="shared" si="9"/>
        <v>140.96039603960395</v>
      </c>
      <c r="AJ35" s="167">
        <v>14237</v>
      </c>
      <c r="AK35" s="184">
        <f t="shared" si="1"/>
        <v>152.73287911779167</v>
      </c>
      <c r="AL35" s="184">
        <v>2174458</v>
      </c>
      <c r="AM35" s="167">
        <v>31</v>
      </c>
      <c r="AN35" s="167">
        <f t="shared" si="10"/>
        <v>277.96774193548384</v>
      </c>
      <c r="AO35" s="167">
        <v>8617</v>
      </c>
      <c r="AP35" s="184">
        <f t="shared" si="11"/>
        <v>161.31983288847627</v>
      </c>
      <c r="AQ35" s="184">
        <v>1390093</v>
      </c>
      <c r="AR35" s="167">
        <v>25</v>
      </c>
      <c r="AS35" s="167">
        <f t="shared" si="12"/>
        <v>283.76</v>
      </c>
      <c r="AT35" s="167">
        <v>7094</v>
      </c>
      <c r="AU35" s="184">
        <f t="shared" si="13"/>
        <v>168.30737101776148</v>
      </c>
      <c r="AV35" s="184">
        <v>1193972.49</v>
      </c>
      <c r="AW35" s="167">
        <f>'Factor D Back Up'!D604</f>
        <v>24</v>
      </c>
      <c r="AX35" s="167">
        <f>'Factor D Back Up'!E604</f>
        <v>274.25707225745077</v>
      </c>
      <c r="AY35" s="167">
        <f>'Factor D Back Up'!F604</f>
        <v>6582.1697341788185</v>
      </c>
      <c r="AZ35" s="184">
        <f>'Factor D Back Up'!G604</f>
        <v>171.74</v>
      </c>
      <c r="BA35" s="184">
        <f>'Factor D Back Up'!H604</f>
        <v>1130421.8301478704</v>
      </c>
      <c r="BB35" s="167">
        <f>'Factor D Back Up'!D605</f>
        <v>17</v>
      </c>
      <c r="BC35" s="167">
        <f>'Factor D Back Up'!E605</f>
        <v>288.7460530155015</v>
      </c>
      <c r="BD35" s="167">
        <f>'Factor D Back Up'!F605</f>
        <v>4908.6829012635253</v>
      </c>
      <c r="BE35" s="184">
        <f>'Factor D Back Up'!G605</f>
        <v>176.20524</v>
      </c>
      <c r="BF35" s="184">
        <f>'Factor D Back Up'!H605</f>
        <v>864935.64870103577</v>
      </c>
      <c r="BG35" s="167">
        <f>'Factor D Back Up'!D606</f>
        <v>13</v>
      </c>
      <c r="BH35" s="167">
        <f>'Factor D Back Up'!E606</f>
        <v>303.23503377355223</v>
      </c>
      <c r="BI35" s="167">
        <f>'Factor D Back Up'!F606</f>
        <v>3942.0554390561792</v>
      </c>
      <c r="BJ35" s="184">
        <f>'Factor D Back Up'!G606</f>
        <v>180.78657624000002</v>
      </c>
      <c r="BK35" s="184">
        <f>'Factor D Back Up'!H606</f>
        <v>712670.70617523673</v>
      </c>
      <c r="BL35" s="167">
        <f>'Factor D Back Up'!D607</f>
        <v>10</v>
      </c>
      <c r="BM35" s="167">
        <f>'Factor D Back Up'!E607</f>
        <v>317.72401453160296</v>
      </c>
      <c r="BN35" s="167">
        <f>'Factor D Back Up'!F607</f>
        <v>3177.2401453160296</v>
      </c>
      <c r="BO35" s="184">
        <f>'Factor D Back Up'!G607</f>
        <v>185.48702722224002</v>
      </c>
      <c r="BP35" s="184">
        <f>'Factor D Back Up'!H607</f>
        <v>589336.82932582824</v>
      </c>
      <c r="BQ35" s="167">
        <f>'Factor D Back Up'!D608</f>
        <v>7</v>
      </c>
      <c r="BR35" s="167">
        <f>'Factor D Back Up'!E608</f>
        <v>332.21299528965375</v>
      </c>
      <c r="BS35" s="167">
        <f>'Factor D Back Up'!F608</f>
        <v>2325.4909670275761</v>
      </c>
      <c r="BT35" s="184">
        <f>'Factor D Back Up'!G608</f>
        <v>190.30968993001827</v>
      </c>
      <c r="BU35" s="184">
        <f>'Factor D Back Up'!H608</f>
        <v>442563.46487007634</v>
      </c>
      <c r="BV35" s="167">
        <f>'Factor D Back Up'!D609</f>
        <v>4</v>
      </c>
      <c r="BW35" s="167">
        <f>'Factor D Back Up'!E609</f>
        <v>346.70197604770448</v>
      </c>
      <c r="BX35" s="167">
        <f>'Factor D Back Up'!F609</f>
        <v>1386.8079041908179</v>
      </c>
      <c r="BY35" s="184">
        <f>'Factor D Back Up'!G609</f>
        <v>195.25774186819874</v>
      </c>
      <c r="BZ35" s="184">
        <f>'Factor D Back Up'!H609</f>
        <v>270784.97977726843</v>
      </c>
      <c r="CB35" s="187">
        <f t="shared" si="14"/>
        <v>15603109.448997315</v>
      </c>
      <c r="CC35" s="187">
        <f>+'linked - DO NOT USE or DELETE'!H40+'linked - DO NOT USE or DELETE'!M40+'linked - DO NOT USE or DELETE'!R40</f>
        <v>2115195</v>
      </c>
      <c r="CD35" s="281">
        <f t="shared" si="15"/>
        <v>17718304.448997315</v>
      </c>
      <c r="CF35" s="576">
        <f t="shared" si="16"/>
        <v>17718304.448997315</v>
      </c>
    </row>
    <row r="36" spans="1:87" ht="15" customHeight="1" x14ac:dyDescent="0.25">
      <c r="A36" s="81" t="s">
        <v>73</v>
      </c>
      <c r="B36" s="165" t="s">
        <v>184</v>
      </c>
      <c r="C36" s="590" t="s">
        <v>135</v>
      </c>
      <c r="D36" s="167">
        <v>11</v>
      </c>
      <c r="E36" s="167">
        <f>F36/D36</f>
        <v>61.454545454545453</v>
      </c>
      <c r="F36" s="167">
        <v>676</v>
      </c>
      <c r="G36" s="184">
        <f>H36/F36</f>
        <v>196</v>
      </c>
      <c r="H36" s="184">
        <v>132496</v>
      </c>
      <c r="I36" s="167">
        <v>22</v>
      </c>
      <c r="J36" s="167">
        <f>K36/I36</f>
        <v>208.40909090909091</v>
      </c>
      <c r="K36" s="167">
        <v>4585</v>
      </c>
      <c r="L36" s="184">
        <f>M36/K36</f>
        <v>195.09552889858233</v>
      </c>
      <c r="M36" s="184">
        <v>894513</v>
      </c>
      <c r="N36" s="167">
        <v>23</v>
      </c>
      <c r="O36" s="167">
        <f>P36/N36</f>
        <v>290.6521739130435</v>
      </c>
      <c r="P36" s="167">
        <v>6685</v>
      </c>
      <c r="Q36" s="184">
        <f>R36/P36</f>
        <v>195.99177262528048</v>
      </c>
      <c r="R36" s="184">
        <v>1310205</v>
      </c>
      <c r="S36" s="167">
        <v>24</v>
      </c>
      <c r="T36" s="167">
        <f t="shared" si="4"/>
        <v>276.95833333333331</v>
      </c>
      <c r="U36" s="167">
        <v>6647</v>
      </c>
      <c r="V36" s="184">
        <f t="shared" si="0"/>
        <v>196</v>
      </c>
      <c r="W36" s="184">
        <v>1302812</v>
      </c>
      <c r="X36" s="167">
        <v>19</v>
      </c>
      <c r="Y36" s="167">
        <f t="shared" si="5"/>
        <v>315.89473684210526</v>
      </c>
      <c r="Z36" s="167">
        <v>6002</v>
      </c>
      <c r="AA36" s="184">
        <f t="shared" si="6"/>
        <v>196</v>
      </c>
      <c r="AB36" s="184">
        <v>1176392</v>
      </c>
      <c r="AC36" s="167">
        <v>38</v>
      </c>
      <c r="AD36" s="167">
        <f t="shared" si="7"/>
        <v>163.34210526315789</v>
      </c>
      <c r="AE36" s="167">
        <v>6207</v>
      </c>
      <c r="AF36" s="184">
        <f t="shared" si="8"/>
        <v>196</v>
      </c>
      <c r="AG36" s="184">
        <v>1216572</v>
      </c>
      <c r="AH36" s="167">
        <v>50</v>
      </c>
      <c r="AI36" s="167">
        <f t="shared" si="9"/>
        <v>150.86000000000001</v>
      </c>
      <c r="AJ36" s="167">
        <v>7543</v>
      </c>
      <c r="AK36" s="184">
        <f t="shared" si="1"/>
        <v>198.79146228291131</v>
      </c>
      <c r="AL36" s="184">
        <v>1499484</v>
      </c>
      <c r="AM36" s="167">
        <v>30</v>
      </c>
      <c r="AN36" s="167">
        <f t="shared" si="10"/>
        <v>287.5</v>
      </c>
      <c r="AO36" s="167">
        <v>8625</v>
      </c>
      <c r="AP36" s="184">
        <f t="shared" si="11"/>
        <v>210.61600000000001</v>
      </c>
      <c r="AQ36" s="184">
        <v>1816563</v>
      </c>
      <c r="AR36" s="167">
        <v>31</v>
      </c>
      <c r="AS36" s="167">
        <f t="shared" si="12"/>
        <v>287.51612903225805</v>
      </c>
      <c r="AT36" s="167">
        <v>8913</v>
      </c>
      <c r="AU36" s="184">
        <f t="shared" si="13"/>
        <v>218.82588129698195</v>
      </c>
      <c r="AV36" s="184">
        <v>1950395.08</v>
      </c>
      <c r="AW36" s="167">
        <f>'Factor D Back Up'!D622</f>
        <v>30</v>
      </c>
      <c r="AX36" s="167">
        <f>'Factor D Back Up'!E622</f>
        <v>289.31399766811342</v>
      </c>
      <c r="AY36" s="167">
        <f>'Factor D Back Up'!F622</f>
        <v>8679.4199300434029</v>
      </c>
      <c r="AZ36" s="184">
        <f>'Factor D Back Up'!G622</f>
        <v>223.26</v>
      </c>
      <c r="BA36" s="184">
        <f>'Factor D Back Up'!H622</f>
        <v>1937767.2935814902</v>
      </c>
      <c r="BB36" s="167">
        <f>'Factor D Back Up'!D623</f>
        <v>25</v>
      </c>
      <c r="BC36" s="167">
        <f>'Factor D Back Up'!E623</f>
        <v>301.78597242956869</v>
      </c>
      <c r="BD36" s="167">
        <f>'Factor D Back Up'!F623</f>
        <v>7544.6493107392171</v>
      </c>
      <c r="BE36" s="184">
        <f>'Factor D Back Up'!G623</f>
        <v>229.48</v>
      </c>
      <c r="BF36" s="184">
        <f>'Factor D Back Up'!H623</f>
        <v>1731346.1238284355</v>
      </c>
      <c r="BG36" s="167">
        <f>'Factor D Back Up'!D624</f>
        <v>21</v>
      </c>
      <c r="BH36" s="167">
        <f>'Factor D Back Up'!E624</f>
        <v>314.25794719102396</v>
      </c>
      <c r="BI36" s="167">
        <f>'Factor D Back Up'!F624</f>
        <v>6599.4168910115031</v>
      </c>
      <c r="BJ36" s="184">
        <f>'Factor D Back Up'!G624</f>
        <v>235.44647999999998</v>
      </c>
      <c r="BK36" s="184">
        <f>'Factor D Back Up'!H624</f>
        <v>1553809.4770412019</v>
      </c>
      <c r="BL36" s="167">
        <f>'Factor D Back Up'!D625</f>
        <v>19</v>
      </c>
      <c r="BM36" s="167">
        <f>'Factor D Back Up'!E625</f>
        <v>326.72992195247923</v>
      </c>
      <c r="BN36" s="167">
        <f>'Factor D Back Up'!F625</f>
        <v>6207.8685170971057</v>
      </c>
      <c r="BO36" s="184">
        <f>'Factor D Back Up'!G625</f>
        <v>241.56808847999997</v>
      </c>
      <c r="BP36" s="184">
        <f>'Factor D Back Up'!H625</f>
        <v>1499622.9312103197</v>
      </c>
      <c r="BQ36" s="167">
        <f>'Factor D Back Up'!D626</f>
        <v>16</v>
      </c>
      <c r="BR36" s="167">
        <f>'Factor D Back Up'!E626</f>
        <v>339.20189671393445</v>
      </c>
      <c r="BS36" s="167">
        <f>'Factor D Back Up'!F626</f>
        <v>5427.2303474229511</v>
      </c>
      <c r="BT36" s="184">
        <f>'Factor D Back Up'!G626</f>
        <v>247.84885878047996</v>
      </c>
      <c r="BU36" s="184">
        <f>'Factor D Back Up'!H626</f>
        <v>1345132.8479475663</v>
      </c>
      <c r="BV36" s="167">
        <f>'Factor D Back Up'!D627</f>
        <v>14</v>
      </c>
      <c r="BW36" s="167">
        <f>'Factor D Back Up'!E627</f>
        <v>351.67387147538972</v>
      </c>
      <c r="BX36" s="167">
        <f>'Factor D Back Up'!F627</f>
        <v>4923.4342006554562</v>
      </c>
      <c r="BY36" s="184">
        <f>'Factor D Back Up'!G627</f>
        <v>254.29292910877243</v>
      </c>
      <c r="BZ36" s="184">
        <f>'Factor D Back Up'!H627</f>
        <v>1251994.5041589835</v>
      </c>
      <c r="CB36" s="187">
        <f t="shared" si="14"/>
        <v>18281891.257767998</v>
      </c>
      <c r="CC36" s="187">
        <f>+'linked - DO NOT USE or DELETE'!H41+'linked - DO NOT USE or DELETE'!M41+'linked - DO NOT USE or DELETE'!R41</f>
        <v>2337214</v>
      </c>
      <c r="CD36" s="281">
        <f t="shared" si="15"/>
        <v>20619105.257767998</v>
      </c>
      <c r="CF36" s="576">
        <f t="shared" si="16"/>
        <v>20619105.257767998</v>
      </c>
    </row>
    <row r="37" spans="1:87" s="86" customFormat="1" ht="15" customHeight="1" x14ac:dyDescent="0.25">
      <c r="A37" s="81" t="s">
        <v>74</v>
      </c>
      <c r="B37" s="165" t="s">
        <v>184</v>
      </c>
      <c r="C37" s="590" t="s">
        <v>135</v>
      </c>
      <c r="D37" s="167">
        <v>4</v>
      </c>
      <c r="E37" s="167">
        <f>F37/D37</f>
        <v>38.75</v>
      </c>
      <c r="F37" s="167">
        <v>155</v>
      </c>
      <c r="G37" s="184">
        <f>H37/F37</f>
        <v>134.89354838709679</v>
      </c>
      <c r="H37" s="184">
        <v>20908.5</v>
      </c>
      <c r="I37" s="167">
        <v>6</v>
      </c>
      <c r="J37" s="167">
        <f>K37/I37</f>
        <v>285.16666666666669</v>
      </c>
      <c r="K37" s="167">
        <v>1711</v>
      </c>
      <c r="L37" s="184">
        <f>M37/K37</f>
        <v>99.82856224430158</v>
      </c>
      <c r="M37" s="184">
        <v>170806.67</v>
      </c>
      <c r="N37" s="167">
        <v>7</v>
      </c>
      <c r="O37" s="167">
        <f>P37/N37</f>
        <v>286.14285714285717</v>
      </c>
      <c r="P37" s="167">
        <v>2003</v>
      </c>
      <c r="Q37" s="184">
        <f>R37/P37</f>
        <v>101.03817274088868</v>
      </c>
      <c r="R37" s="184">
        <v>202379.46000000002</v>
      </c>
      <c r="S37" s="167">
        <v>5</v>
      </c>
      <c r="T37" s="167">
        <f t="shared" si="4"/>
        <v>264.39999999999998</v>
      </c>
      <c r="U37" s="167">
        <v>1322</v>
      </c>
      <c r="V37" s="184">
        <f t="shared" si="0"/>
        <v>94.906172465960665</v>
      </c>
      <c r="W37" s="184">
        <v>125465.96</v>
      </c>
      <c r="X37" s="167">
        <v>0</v>
      </c>
      <c r="Y37" s="167" t="e">
        <f t="shared" si="5"/>
        <v>#DIV/0!</v>
      </c>
      <c r="Z37" s="167">
        <v>0</v>
      </c>
      <c r="AA37" s="184" t="e">
        <f t="shared" si="6"/>
        <v>#DIV/0!</v>
      </c>
      <c r="AB37" s="184">
        <v>0</v>
      </c>
      <c r="AC37" s="167">
        <v>3</v>
      </c>
      <c r="AD37" s="167">
        <f t="shared" si="7"/>
        <v>132</v>
      </c>
      <c r="AE37" s="167">
        <v>396</v>
      </c>
      <c r="AF37" s="184">
        <f t="shared" si="8"/>
        <v>500</v>
      </c>
      <c r="AG37" s="184">
        <v>198000</v>
      </c>
      <c r="AH37" s="167">
        <v>10</v>
      </c>
      <c r="AI37" s="167">
        <f t="shared" si="9"/>
        <v>163.80000000000001</v>
      </c>
      <c r="AJ37" s="167">
        <v>1638</v>
      </c>
      <c r="AK37" s="184">
        <f t="shared" si="1"/>
        <v>500</v>
      </c>
      <c r="AL37" s="184">
        <v>819000</v>
      </c>
      <c r="AM37" s="167">
        <v>8</v>
      </c>
      <c r="AN37" s="167">
        <f t="shared" si="10"/>
        <v>266.375</v>
      </c>
      <c r="AO37" s="167">
        <v>2131</v>
      </c>
      <c r="AP37" s="184">
        <f t="shared" si="11"/>
        <v>500</v>
      </c>
      <c r="AQ37" s="184">
        <v>1065500</v>
      </c>
      <c r="AR37" s="167">
        <v>11</v>
      </c>
      <c r="AS37" s="167">
        <f t="shared" si="12"/>
        <v>272.72727272727275</v>
      </c>
      <c r="AT37" s="167">
        <v>3000</v>
      </c>
      <c r="AU37" s="184">
        <f t="shared" si="13"/>
        <v>499.58466666666669</v>
      </c>
      <c r="AV37" s="184">
        <v>1498754</v>
      </c>
      <c r="AW37" s="167">
        <f>'Factor D Back Up'!D640</f>
        <v>12</v>
      </c>
      <c r="AX37" s="167">
        <f>'Factor D Back Up'!E640</f>
        <v>231.79978655603659</v>
      </c>
      <c r="AY37" s="167">
        <f>'Factor D Back Up'!F640</f>
        <v>2781.5974386724392</v>
      </c>
      <c r="AZ37" s="184">
        <f>'Factor D Back Up'!G640</f>
        <v>505.12</v>
      </c>
      <c r="BA37" s="184">
        <f>'Factor D Back Up'!H640</f>
        <v>1405040.4982222226</v>
      </c>
      <c r="BB37" s="167">
        <f>'Factor D Back Up'!D641</f>
        <v>15</v>
      </c>
      <c r="BC37" s="167">
        <f>'Factor D Back Up'!E641</f>
        <v>240.17392616642621</v>
      </c>
      <c r="BD37" s="167">
        <f>'Factor D Back Up'!F641</f>
        <v>3602.6088924963933</v>
      </c>
      <c r="BE37" s="184">
        <f>'Factor D Back Up'!G641</f>
        <v>518.64</v>
      </c>
      <c r="BF37" s="184">
        <f>'Factor D Back Up'!H641</f>
        <v>1868457.0760043294</v>
      </c>
      <c r="BG37" s="167">
        <f>'Factor D Back Up'!D642</f>
        <v>17</v>
      </c>
      <c r="BH37" s="167">
        <f>'Factor D Back Up'!E642</f>
        <v>248.5480657768158</v>
      </c>
      <c r="BI37" s="167">
        <f>'Factor D Back Up'!F642</f>
        <v>4225.3171182058686</v>
      </c>
      <c r="BJ37" s="184">
        <f>'Factor D Back Up'!G642</f>
        <v>532.12464</v>
      </c>
      <c r="BK37" s="184">
        <f>'Factor D Back Up'!H642</f>
        <v>2248395.3504111352</v>
      </c>
      <c r="BL37" s="167">
        <f>'Factor D Back Up'!D643</f>
        <v>19</v>
      </c>
      <c r="BM37" s="167">
        <f>'Factor D Back Up'!E643</f>
        <v>256.92220538720539</v>
      </c>
      <c r="BN37" s="167">
        <f>'Factor D Back Up'!F643</f>
        <v>4881.5219023569025</v>
      </c>
      <c r="BO37" s="184">
        <f>'Factor D Back Up'!G643</f>
        <v>545.95988064000005</v>
      </c>
      <c r="BP37" s="184">
        <f>'Factor D Back Up'!H643</f>
        <v>2665115.1151523204</v>
      </c>
      <c r="BQ37" s="167">
        <f>'Factor D Back Up'!D644</f>
        <v>20</v>
      </c>
      <c r="BR37" s="167">
        <f>'Factor D Back Up'!E644</f>
        <v>265.29634499759504</v>
      </c>
      <c r="BS37" s="167">
        <f>'Factor D Back Up'!F644</f>
        <v>5305.9268999519009</v>
      </c>
      <c r="BT37" s="184">
        <f>'Factor D Back Up'!G644</f>
        <v>560.15483753664</v>
      </c>
      <c r="BU37" s="184">
        <f>'Factor D Back Up'!H644</f>
        <v>2972140.6206238451</v>
      </c>
      <c r="BV37" s="167">
        <f>'Factor D Back Up'!D645</f>
        <v>21</v>
      </c>
      <c r="BW37" s="167">
        <f>'Factor D Back Up'!E645</f>
        <v>273.67048460798463</v>
      </c>
      <c r="BX37" s="167">
        <f>'Factor D Back Up'!F645</f>
        <v>5747.0801767676776</v>
      </c>
      <c r="BY37" s="184">
        <f>'Factor D Back Up'!G645</f>
        <v>574.71886331259259</v>
      </c>
      <c r="BZ37" s="184">
        <f>'Factor D Back Up'!H645</f>
        <v>3302955.3865582533</v>
      </c>
      <c r="CB37" s="187">
        <f t="shared" si="14"/>
        <v>18168824.006972108</v>
      </c>
      <c r="CC37" s="282">
        <f>+'linked - DO NOT USE or DELETE'!H42+'linked - DO NOT USE or DELETE'!M42+'linked - DO NOT USE or DELETE'!R42</f>
        <v>394094.63</v>
      </c>
      <c r="CD37" s="281">
        <f t="shared" si="15"/>
        <v>18562918.636972107</v>
      </c>
      <c r="CF37" s="576">
        <f t="shared" si="16"/>
        <v>18562918.636972107</v>
      </c>
    </row>
    <row r="38" spans="1:87" ht="15" customHeight="1" x14ac:dyDescent="0.25">
      <c r="A38" s="80" t="s">
        <v>28</v>
      </c>
      <c r="B38" s="165" t="s">
        <v>148</v>
      </c>
      <c r="C38" s="590" t="s">
        <v>137</v>
      </c>
      <c r="D38" s="167">
        <v>0</v>
      </c>
      <c r="E38" s="167">
        <v>0</v>
      </c>
      <c r="F38" s="167">
        <v>0</v>
      </c>
      <c r="G38" s="184">
        <v>0</v>
      </c>
      <c r="H38" s="184">
        <v>0</v>
      </c>
      <c r="I38" s="167">
        <v>2</v>
      </c>
      <c r="J38" s="167">
        <f t="shared" ref="J38:J54" si="59">K38/I38</f>
        <v>1</v>
      </c>
      <c r="K38" s="167">
        <v>2</v>
      </c>
      <c r="L38" s="184">
        <f t="shared" ref="L38:L54" si="60">M38/K38</f>
        <v>5000</v>
      </c>
      <c r="M38" s="184">
        <v>10000</v>
      </c>
      <c r="N38" s="167">
        <v>0</v>
      </c>
      <c r="O38" s="167" t="e">
        <f t="shared" ref="O38" si="61">P38/N38</f>
        <v>#DIV/0!</v>
      </c>
      <c r="P38" s="167">
        <v>0</v>
      </c>
      <c r="Q38" s="184" t="e">
        <f t="shared" ref="Q38" si="62">R38/P38</f>
        <v>#DIV/0!</v>
      </c>
      <c r="R38" s="184">
        <v>0</v>
      </c>
      <c r="S38" s="167">
        <v>1</v>
      </c>
      <c r="T38" s="167">
        <f t="shared" si="4"/>
        <v>1</v>
      </c>
      <c r="U38" s="167">
        <v>1</v>
      </c>
      <c r="V38" s="184">
        <f t="shared" si="0"/>
        <v>5000</v>
      </c>
      <c r="W38" s="184">
        <v>5000</v>
      </c>
      <c r="X38" s="167">
        <v>2</v>
      </c>
      <c r="Y38" s="167">
        <f t="shared" si="5"/>
        <v>1</v>
      </c>
      <c r="Z38" s="167">
        <v>2</v>
      </c>
      <c r="AA38" s="184">
        <f t="shared" si="6"/>
        <v>5000</v>
      </c>
      <c r="AB38" s="184">
        <v>10000</v>
      </c>
      <c r="AC38" s="167">
        <v>0</v>
      </c>
      <c r="AD38" s="167" t="e">
        <f t="shared" si="7"/>
        <v>#DIV/0!</v>
      </c>
      <c r="AE38" s="167">
        <v>0</v>
      </c>
      <c r="AF38" s="184" t="e">
        <f t="shared" si="8"/>
        <v>#DIV/0!</v>
      </c>
      <c r="AG38" s="184">
        <v>0</v>
      </c>
      <c r="AH38" s="167">
        <v>1</v>
      </c>
      <c r="AI38" s="167">
        <f t="shared" si="9"/>
        <v>1</v>
      </c>
      <c r="AJ38" s="167">
        <v>1</v>
      </c>
      <c r="AK38" s="184">
        <f t="shared" si="1"/>
        <v>5000</v>
      </c>
      <c r="AL38" s="184">
        <v>5000</v>
      </c>
      <c r="AM38" s="167">
        <v>0</v>
      </c>
      <c r="AN38" s="167" t="e">
        <f t="shared" si="10"/>
        <v>#DIV/0!</v>
      </c>
      <c r="AO38" s="167">
        <v>0</v>
      </c>
      <c r="AP38" s="184" t="e">
        <f t="shared" si="11"/>
        <v>#DIV/0!</v>
      </c>
      <c r="AQ38" s="184">
        <v>0</v>
      </c>
      <c r="AR38" s="167">
        <v>1</v>
      </c>
      <c r="AS38" s="167">
        <f t="shared" si="12"/>
        <v>1</v>
      </c>
      <c r="AT38" s="167">
        <v>1</v>
      </c>
      <c r="AU38" s="184">
        <f t="shared" si="13"/>
        <v>5000</v>
      </c>
      <c r="AV38" s="184">
        <v>5000</v>
      </c>
      <c r="AW38" s="167">
        <f>'Factor D Back Up'!D658</f>
        <v>1</v>
      </c>
      <c r="AX38" s="167">
        <f>'Factor D Back Up'!E658</f>
        <v>1</v>
      </c>
      <c r="AY38" s="167">
        <f>'Factor D Back Up'!F658</f>
        <v>1</v>
      </c>
      <c r="AZ38" s="184">
        <f>'Factor D Back Up'!G658</f>
        <v>5000</v>
      </c>
      <c r="BA38" s="184">
        <f>'Factor D Back Up'!H658</f>
        <v>5000</v>
      </c>
      <c r="BB38" s="167">
        <f>'Factor D Back Up'!D659</f>
        <v>1</v>
      </c>
      <c r="BC38" s="167">
        <f>'Factor D Back Up'!E659</f>
        <v>1</v>
      </c>
      <c r="BD38" s="167">
        <f>'Factor D Back Up'!F659</f>
        <v>1</v>
      </c>
      <c r="BE38" s="184">
        <f>'Factor D Back Up'!G659</f>
        <v>5000</v>
      </c>
      <c r="BF38" s="184">
        <f>'Factor D Back Up'!H659</f>
        <v>5000</v>
      </c>
      <c r="BG38" s="167">
        <f>'Factor D Back Up'!D660</f>
        <v>1</v>
      </c>
      <c r="BH38" s="167">
        <f>'Factor D Back Up'!E660</f>
        <v>1</v>
      </c>
      <c r="BI38" s="167">
        <f>'Factor D Back Up'!F660</f>
        <v>1</v>
      </c>
      <c r="BJ38" s="184">
        <f>'Factor D Back Up'!G660</f>
        <v>5000</v>
      </c>
      <c r="BK38" s="184">
        <f>'Factor D Back Up'!H660</f>
        <v>5000</v>
      </c>
      <c r="BL38" s="167">
        <f>'Factor D Back Up'!D661</f>
        <v>1</v>
      </c>
      <c r="BM38" s="167">
        <f>'Factor D Back Up'!E661</f>
        <v>1</v>
      </c>
      <c r="BN38" s="167">
        <f>'Factor D Back Up'!F661</f>
        <v>1</v>
      </c>
      <c r="BO38" s="184">
        <f>'Factor D Back Up'!G661</f>
        <v>5000</v>
      </c>
      <c r="BP38" s="184">
        <f>'Factor D Back Up'!H661</f>
        <v>5000</v>
      </c>
      <c r="BQ38" s="167">
        <f>'Factor D Back Up'!D662</f>
        <v>1</v>
      </c>
      <c r="BR38" s="167">
        <f>'Factor D Back Up'!E662</f>
        <v>1</v>
      </c>
      <c r="BS38" s="167">
        <f>'Factor D Back Up'!F662</f>
        <v>1</v>
      </c>
      <c r="BT38" s="184">
        <f>'Factor D Back Up'!G662</f>
        <v>5000</v>
      </c>
      <c r="BU38" s="184">
        <f>'Factor D Back Up'!H662</f>
        <v>5000</v>
      </c>
      <c r="BV38" s="167">
        <f>'Factor D Back Up'!D663</f>
        <v>1</v>
      </c>
      <c r="BW38" s="167">
        <f>'Factor D Back Up'!E663</f>
        <v>1</v>
      </c>
      <c r="BX38" s="167">
        <f>'Factor D Back Up'!F663</f>
        <v>1</v>
      </c>
      <c r="BY38" s="184">
        <f>'Factor D Back Up'!G663</f>
        <v>5000</v>
      </c>
      <c r="BZ38" s="184">
        <f>'Factor D Back Up'!H663</f>
        <v>5000</v>
      </c>
      <c r="CA38" s="86"/>
      <c r="CB38" s="187">
        <f t="shared" si="14"/>
        <v>55000</v>
      </c>
      <c r="CC38" s="282">
        <f>+'linked - DO NOT USE or DELETE'!H43+'linked - DO NOT USE or DELETE'!M43+'linked - DO NOT USE or DELETE'!R43</f>
        <v>10000</v>
      </c>
      <c r="CD38" s="281">
        <f t="shared" si="15"/>
        <v>65000</v>
      </c>
      <c r="CE38" s="86"/>
      <c r="CF38" s="576">
        <f t="shared" si="16"/>
        <v>65000</v>
      </c>
      <c r="CG38" s="86"/>
      <c r="CH38" s="86"/>
      <c r="CI38" s="86"/>
    </row>
    <row r="39" spans="1:87" ht="15" customHeight="1" x14ac:dyDescent="0.25">
      <c r="A39" s="80" t="s">
        <v>352</v>
      </c>
      <c r="B39" s="165" t="s">
        <v>138</v>
      </c>
      <c r="C39" s="590" t="s">
        <v>152</v>
      </c>
      <c r="D39" s="167">
        <v>293</v>
      </c>
      <c r="E39" s="167">
        <f t="shared" ref="E39:E54" si="63">F39/D39</f>
        <v>3169.0204778156995</v>
      </c>
      <c r="F39" s="167">
        <v>928523</v>
      </c>
      <c r="G39" s="184">
        <f t="shared" ref="G39:G54" si="64">H39/F39</f>
        <v>3.9497829348330624</v>
      </c>
      <c r="H39" s="184">
        <v>3667464.3</v>
      </c>
      <c r="I39" s="167">
        <v>294</v>
      </c>
      <c r="J39" s="167">
        <f t="shared" si="59"/>
        <v>3580.0204081632655</v>
      </c>
      <c r="K39" s="167">
        <v>1052526</v>
      </c>
      <c r="L39" s="184">
        <f t="shared" si="60"/>
        <v>3.9475268544435007</v>
      </c>
      <c r="M39" s="184">
        <v>4154874.65</v>
      </c>
      <c r="N39" s="167">
        <v>420</v>
      </c>
      <c r="O39" s="167">
        <f t="shared" ref="O39:O54" si="65">P39/N39</f>
        <v>3091.0880952380953</v>
      </c>
      <c r="P39" s="167">
        <v>1298257</v>
      </c>
      <c r="Q39" s="184">
        <f t="shared" ref="Q39:Q54" si="66">R39/P39</f>
        <v>3.9460827478688709</v>
      </c>
      <c r="R39" s="184">
        <v>5123029.549999997</v>
      </c>
      <c r="S39" s="167">
        <v>530</v>
      </c>
      <c r="T39" s="167">
        <f t="shared" si="4"/>
        <v>3150.0698113207545</v>
      </c>
      <c r="U39" s="167">
        <v>1669537</v>
      </c>
      <c r="V39" s="184">
        <f>W39/U39</f>
        <v>3.9482040410005892</v>
      </c>
      <c r="W39" s="184">
        <v>6591672.7300000004</v>
      </c>
      <c r="X39" s="167">
        <v>557</v>
      </c>
      <c r="Y39" s="167">
        <f t="shared" si="5"/>
        <v>3508.3231597845602</v>
      </c>
      <c r="Z39" s="167">
        <v>1954136</v>
      </c>
      <c r="AA39" s="184">
        <f t="shared" si="6"/>
        <v>3.949425986727638</v>
      </c>
      <c r="AB39" s="184">
        <v>7717715.5</v>
      </c>
      <c r="AC39" s="167">
        <v>1373</v>
      </c>
      <c r="AD39" s="167">
        <f t="shared" si="7"/>
        <v>1955.2760378732703</v>
      </c>
      <c r="AE39" s="167">
        <v>2684594</v>
      </c>
      <c r="AF39" s="184">
        <f t="shared" si="8"/>
        <v>3.8190673748060227</v>
      </c>
      <c r="AG39" s="184">
        <v>10252645.359999999</v>
      </c>
      <c r="AH39" s="167">
        <v>1352</v>
      </c>
      <c r="AI39" s="167">
        <f t="shared" si="9"/>
        <v>2220.7204142011833</v>
      </c>
      <c r="AJ39" s="167">
        <v>3002414</v>
      </c>
      <c r="AK39" s="184">
        <f>AL39/AJ39</f>
        <v>3.7995521370470557</v>
      </c>
      <c r="AL39" s="184">
        <v>11407828.529999999</v>
      </c>
      <c r="AM39" s="167">
        <v>753</v>
      </c>
      <c r="AN39" s="167">
        <f t="shared" si="10"/>
        <v>3739.7290836653387</v>
      </c>
      <c r="AO39" s="167">
        <v>2816016</v>
      </c>
      <c r="AP39" s="184">
        <f t="shared" si="11"/>
        <v>3.8690814114692529</v>
      </c>
      <c r="AQ39" s="184">
        <v>10895395.16</v>
      </c>
      <c r="AR39" s="167">
        <v>695</v>
      </c>
      <c r="AS39" s="167">
        <f t="shared" si="12"/>
        <v>3694.9899280575542</v>
      </c>
      <c r="AT39" s="167">
        <v>2568018</v>
      </c>
      <c r="AU39" s="184">
        <f t="shared" si="13"/>
        <v>5.2871084392710648</v>
      </c>
      <c r="AV39" s="184">
        <v>13577389.640000001</v>
      </c>
      <c r="AW39" s="167">
        <f>'Factor D Back Up'!D676</f>
        <v>600</v>
      </c>
      <c r="AX39" s="167">
        <f>'Factor D Back Up'!E676</f>
        <v>4368</v>
      </c>
      <c r="AY39" s="167">
        <f>'Factor D Back Up'!F676</f>
        <v>2620800</v>
      </c>
      <c r="AZ39" s="184">
        <f>'Factor D Back Up'!G676</f>
        <v>5.49</v>
      </c>
      <c r="BA39" s="184">
        <f>'Factor D Back Up'!H676</f>
        <v>14388192</v>
      </c>
      <c r="BB39" s="167">
        <f>'Factor D Back Up'!D677</f>
        <v>550</v>
      </c>
      <c r="BC39" s="167">
        <f>'Factor D Back Up'!E677</f>
        <v>4368</v>
      </c>
      <c r="BD39" s="167">
        <f>'Factor D Back Up'!F677</f>
        <v>2402400</v>
      </c>
      <c r="BE39" s="184">
        <f>'Factor D Back Up'!G677</f>
        <v>5.6327400000000001</v>
      </c>
      <c r="BF39" s="184">
        <f>'Factor D Back Up'!H677</f>
        <v>13532094.575999999</v>
      </c>
      <c r="BG39" s="167">
        <f>'Factor D Back Up'!D678</f>
        <v>500</v>
      </c>
      <c r="BH39" s="167">
        <f>'Factor D Back Up'!E678</f>
        <v>4368</v>
      </c>
      <c r="BI39" s="167">
        <f>'Factor D Back Up'!F678</f>
        <v>2184000</v>
      </c>
      <c r="BJ39" s="184">
        <f>'Factor D Back Up'!G678</f>
        <v>5.7791912400000003</v>
      </c>
      <c r="BK39" s="184">
        <f>'Factor D Back Up'!H678</f>
        <v>12621753.668160001</v>
      </c>
      <c r="BL39" s="167">
        <f>'Factor D Back Up'!D679</f>
        <v>520</v>
      </c>
      <c r="BM39" s="167">
        <f>'Factor D Back Up'!E679</f>
        <v>4368</v>
      </c>
      <c r="BN39" s="167">
        <f>'Factor D Back Up'!F679</f>
        <v>2271360</v>
      </c>
      <c r="BO39" s="184">
        <f>'Factor D Back Up'!G679</f>
        <v>5.9294502122399999</v>
      </c>
      <c r="BP39" s="184">
        <f>'Factor D Back Up'!H679</f>
        <v>13467916.034073446</v>
      </c>
      <c r="BQ39" s="167">
        <f>'Factor D Back Up'!D680</f>
        <v>540</v>
      </c>
      <c r="BR39" s="167">
        <f>'Factor D Back Up'!E680</f>
        <v>4368</v>
      </c>
      <c r="BS39" s="167">
        <f>'Factor D Back Up'!F680</f>
        <v>2358720</v>
      </c>
      <c r="BT39" s="184">
        <f>'Factor D Back Up'!G680</f>
        <v>6.0836159177582401</v>
      </c>
      <c r="BU39" s="184">
        <f>'Factor D Back Up'!H680</f>
        <v>14349546.537534716</v>
      </c>
      <c r="BV39" s="167">
        <f>'Factor D Back Up'!D681</f>
        <v>560</v>
      </c>
      <c r="BW39" s="167">
        <f>'Factor D Back Up'!E681</f>
        <v>4368</v>
      </c>
      <c r="BX39" s="167">
        <f>'Factor D Back Up'!F681</f>
        <v>2446080</v>
      </c>
      <c r="BY39" s="184">
        <f>'Factor D Back Up'!G681</f>
        <v>6.2417899316199543</v>
      </c>
      <c r="BZ39" s="184">
        <f>'Factor D Back Up'!H681</f>
        <v>15267917.515936937</v>
      </c>
      <c r="CA39" s="86"/>
      <c r="CB39" s="187">
        <f t="shared" si="14"/>
        <v>144070067.25170508</v>
      </c>
      <c r="CC39" s="282">
        <f>+'linked - DO NOT USE or DELETE'!H44+'linked - DO NOT USE or DELETE'!M44+'linked - DO NOT USE or DELETE'!R44</f>
        <v>12945368.499999996</v>
      </c>
      <c r="CD39" s="281">
        <f t="shared" si="15"/>
        <v>157015435.75170508</v>
      </c>
      <c r="CE39" s="86"/>
      <c r="CF39" s="576">
        <f t="shared" si="16"/>
        <v>157015435.75170511</v>
      </c>
      <c r="CG39" s="86"/>
      <c r="CH39" s="86"/>
      <c r="CI39" s="86"/>
    </row>
    <row r="40" spans="1:87" ht="15" customHeight="1" x14ac:dyDescent="0.25">
      <c r="A40" s="80" t="s">
        <v>353</v>
      </c>
      <c r="B40" s="165" t="s">
        <v>138</v>
      </c>
      <c r="C40" s="590" t="s">
        <v>152</v>
      </c>
      <c r="D40" s="167">
        <v>20</v>
      </c>
      <c r="E40" s="167">
        <f t="shared" si="63"/>
        <v>1578.05</v>
      </c>
      <c r="F40" s="167">
        <v>31561</v>
      </c>
      <c r="G40" s="184">
        <f t="shared" si="64"/>
        <v>7.8994201704635474</v>
      </c>
      <c r="H40" s="184">
        <v>249313.6</v>
      </c>
      <c r="I40" s="167">
        <v>37</v>
      </c>
      <c r="J40" s="167">
        <f t="shared" si="59"/>
        <v>3167.8378378378379</v>
      </c>
      <c r="K40" s="167">
        <v>117210</v>
      </c>
      <c r="L40" s="184">
        <f t="shared" si="60"/>
        <v>7.7862830816483237</v>
      </c>
      <c r="M40" s="184">
        <v>912630.24</v>
      </c>
      <c r="N40" s="167">
        <v>54</v>
      </c>
      <c r="O40" s="167">
        <f t="shared" si="65"/>
        <v>3198.2407407407409</v>
      </c>
      <c r="P40" s="167">
        <v>172705</v>
      </c>
      <c r="Q40" s="184">
        <f t="shared" si="66"/>
        <v>7.8587217509626255</v>
      </c>
      <c r="R40" s="184">
        <v>1357240.5400000003</v>
      </c>
      <c r="S40" s="167">
        <v>69</v>
      </c>
      <c r="T40" s="167">
        <f t="shared" si="4"/>
        <v>3006.1739130434785</v>
      </c>
      <c r="U40" s="167">
        <v>207426</v>
      </c>
      <c r="V40" s="184">
        <f>W40/U40</f>
        <v>7.747227782438074</v>
      </c>
      <c r="W40" s="184">
        <v>1606976.47</v>
      </c>
      <c r="X40" s="167">
        <v>75</v>
      </c>
      <c r="Y40" s="167">
        <f t="shared" si="5"/>
        <v>3366.56</v>
      </c>
      <c r="Z40" s="167">
        <v>252492</v>
      </c>
      <c r="AA40" s="184">
        <f t="shared" si="6"/>
        <v>7.6857164583432347</v>
      </c>
      <c r="AB40" s="184">
        <v>1940581.92</v>
      </c>
      <c r="AC40" s="167">
        <v>165</v>
      </c>
      <c r="AD40" s="167">
        <f t="shared" si="7"/>
        <v>1943.6</v>
      </c>
      <c r="AE40" s="167">
        <v>320694</v>
      </c>
      <c r="AF40" s="184">
        <f t="shared" si="8"/>
        <v>6.7802600921750953</v>
      </c>
      <c r="AG40" s="184">
        <v>2174388.73</v>
      </c>
      <c r="AH40" s="167">
        <v>186</v>
      </c>
      <c r="AI40" s="167">
        <f t="shared" si="9"/>
        <v>2322.5645161290322</v>
      </c>
      <c r="AJ40" s="167">
        <v>431997</v>
      </c>
      <c r="AK40" s="184">
        <f>AL40/AJ40</f>
        <v>6.7163125438371098</v>
      </c>
      <c r="AL40" s="184">
        <v>2901426.87</v>
      </c>
      <c r="AM40" s="167">
        <v>129</v>
      </c>
      <c r="AN40" s="167">
        <f t="shared" si="10"/>
        <v>3824.6666666666665</v>
      </c>
      <c r="AO40" s="167">
        <v>493382</v>
      </c>
      <c r="AP40" s="184">
        <f t="shared" si="11"/>
        <v>6.8323831432845132</v>
      </c>
      <c r="AQ40" s="184">
        <v>3370974.86</v>
      </c>
      <c r="AR40" s="167">
        <v>144</v>
      </c>
      <c r="AS40" s="167">
        <f t="shared" si="12"/>
        <v>3781</v>
      </c>
      <c r="AT40" s="167">
        <v>544464</v>
      </c>
      <c r="AU40" s="184">
        <f t="shared" si="13"/>
        <v>9.7816039444297509</v>
      </c>
      <c r="AV40" s="184">
        <v>5325731.21</v>
      </c>
      <c r="AW40" s="167">
        <f>'Factor D Back Up'!D694</f>
        <v>147</v>
      </c>
      <c r="AX40" s="167">
        <f>'Factor D Back Up'!E694</f>
        <v>3573.8848630647162</v>
      </c>
      <c r="AY40" s="167">
        <f>'Factor D Back Up'!F694</f>
        <v>525361.07487051329</v>
      </c>
      <c r="AZ40" s="184">
        <f>'Factor D Back Up'!G694</f>
        <v>10.39</v>
      </c>
      <c r="BA40" s="184">
        <f>'Factor D Back Up'!H694</f>
        <v>5458501.5679046335</v>
      </c>
      <c r="BB40" s="167">
        <f>'Factor D Back Up'!D695</f>
        <v>153</v>
      </c>
      <c r="BC40" s="167">
        <f>'Factor D Back Up'!E695</f>
        <v>3706.6908651350427</v>
      </c>
      <c r="BD40" s="167">
        <f>'Factor D Back Up'!F695</f>
        <v>567123.70236566151</v>
      </c>
      <c r="BE40" s="184">
        <f>'Factor D Back Up'!G695</f>
        <v>10.66014</v>
      </c>
      <c r="BF40" s="184">
        <f>'Factor D Back Up'!H695</f>
        <v>6045618.0645362828</v>
      </c>
      <c r="BG40" s="167">
        <f>'Factor D Back Up'!D696</f>
        <v>157</v>
      </c>
      <c r="BH40" s="167">
        <f>'Factor D Back Up'!E696</f>
        <v>3839.4968672053692</v>
      </c>
      <c r="BI40" s="167">
        <f>'Factor D Back Up'!F696</f>
        <v>602801.00815124298</v>
      </c>
      <c r="BJ40" s="184">
        <f>'Factor D Back Up'!G696</f>
        <v>10.93730364</v>
      </c>
      <c r="BK40" s="184">
        <f>'Factor D Back Up'!H696</f>
        <v>6593017.6606482593</v>
      </c>
      <c r="BL40" s="167">
        <f>'Factor D Back Up'!D697</f>
        <v>160</v>
      </c>
      <c r="BM40" s="167">
        <f>'Factor D Back Up'!E697</f>
        <v>3972.3028692756957</v>
      </c>
      <c r="BN40" s="167">
        <f>'Factor D Back Up'!F697</f>
        <v>635568.45908411127</v>
      </c>
      <c r="BO40" s="184">
        <f>'Factor D Back Up'!G697</f>
        <v>11.221673534639999</v>
      </c>
      <c r="BP40" s="184">
        <f>'Factor D Back Up'!H697</f>
        <v>7132141.7567560961</v>
      </c>
      <c r="BQ40" s="167">
        <f>'Factor D Back Up'!D698</f>
        <v>163</v>
      </c>
      <c r="BR40" s="167">
        <f>'Factor D Back Up'!E698</f>
        <v>4105.1088713460222</v>
      </c>
      <c r="BS40" s="167">
        <f>'Factor D Back Up'!F698</f>
        <v>669132.74602940166</v>
      </c>
      <c r="BT40" s="184">
        <f>'Factor D Back Up'!G698</f>
        <v>11.513437046540639</v>
      </c>
      <c r="BU40" s="184">
        <f>'Factor D Back Up'!H698</f>
        <v>7704017.7471883819</v>
      </c>
      <c r="BV40" s="167">
        <f>'Factor D Back Up'!D699</f>
        <v>166</v>
      </c>
      <c r="BW40" s="167">
        <f>'Factor D Back Up'!E699</f>
        <v>4237.9148734163482</v>
      </c>
      <c r="BX40" s="167">
        <f>'Factor D Back Up'!F699</f>
        <v>703493.86898711382</v>
      </c>
      <c r="BY40" s="184">
        <f>'Factor D Back Up'!G699</f>
        <v>11.812786409750696</v>
      </c>
      <c r="BZ40" s="184">
        <f>'Factor D Back Up'!H699</f>
        <v>8310222.8149139155</v>
      </c>
      <c r="CA40" s="86"/>
      <c r="CB40" s="187">
        <f t="shared" si="14"/>
        <v>58563599.671947569</v>
      </c>
      <c r="CC40" s="282">
        <f>+'linked - DO NOT USE or DELETE'!H45+'linked - DO NOT USE or DELETE'!M45+'linked - DO NOT USE or DELETE'!R45</f>
        <v>2519184.3800000004</v>
      </c>
      <c r="CD40" s="281">
        <f t="shared" si="15"/>
        <v>61082784.051947571</v>
      </c>
      <c r="CE40" s="86"/>
      <c r="CF40" s="576">
        <f t="shared" si="16"/>
        <v>61082784.051947564</v>
      </c>
      <c r="CG40" s="86"/>
      <c r="CH40" s="86"/>
      <c r="CI40" s="86"/>
    </row>
    <row r="41" spans="1:87" ht="15" customHeight="1" x14ac:dyDescent="0.25">
      <c r="A41" s="80" t="s">
        <v>347</v>
      </c>
      <c r="B41" s="166" t="s">
        <v>138</v>
      </c>
      <c r="C41" s="590" t="s">
        <v>152</v>
      </c>
      <c r="D41" s="167">
        <v>0</v>
      </c>
      <c r="E41" s="167" t="e">
        <f t="shared" si="63"/>
        <v>#DIV/0!</v>
      </c>
      <c r="F41" s="167">
        <v>0</v>
      </c>
      <c r="G41" s="184" t="e">
        <f t="shared" si="64"/>
        <v>#DIV/0!</v>
      </c>
      <c r="H41" s="184">
        <v>0</v>
      </c>
      <c r="I41" s="167">
        <v>0</v>
      </c>
      <c r="J41" s="167" t="e">
        <f t="shared" si="59"/>
        <v>#DIV/0!</v>
      </c>
      <c r="K41" s="167">
        <v>0</v>
      </c>
      <c r="L41" s="184" t="e">
        <f t="shared" si="60"/>
        <v>#DIV/0!</v>
      </c>
      <c r="M41" s="184">
        <v>0</v>
      </c>
      <c r="N41" s="167">
        <v>0</v>
      </c>
      <c r="O41" s="167" t="e">
        <f t="shared" si="65"/>
        <v>#DIV/0!</v>
      </c>
      <c r="P41" s="167">
        <v>0</v>
      </c>
      <c r="Q41" s="184" t="e">
        <f t="shared" si="66"/>
        <v>#DIV/0!</v>
      </c>
      <c r="R41" s="184">
        <v>0</v>
      </c>
      <c r="S41" s="167">
        <v>0</v>
      </c>
      <c r="T41" s="167" t="e">
        <f t="shared" si="4"/>
        <v>#DIV/0!</v>
      </c>
      <c r="U41" s="167">
        <v>0</v>
      </c>
      <c r="V41" s="184" t="e">
        <f t="shared" ref="V41:V114" si="67">W41/U41</f>
        <v>#DIV/0!</v>
      </c>
      <c r="W41" s="184">
        <v>0</v>
      </c>
      <c r="X41" s="167">
        <v>0</v>
      </c>
      <c r="Y41" s="167" t="e">
        <f t="shared" si="5"/>
        <v>#DIV/0!</v>
      </c>
      <c r="Z41" s="167">
        <v>0</v>
      </c>
      <c r="AA41" s="184" t="e">
        <f t="shared" si="6"/>
        <v>#DIV/0!</v>
      </c>
      <c r="AB41" s="184">
        <v>0</v>
      </c>
      <c r="AC41" s="167">
        <v>0</v>
      </c>
      <c r="AD41" s="167" t="e">
        <f t="shared" si="7"/>
        <v>#DIV/0!</v>
      </c>
      <c r="AE41" s="167">
        <v>0</v>
      </c>
      <c r="AF41" s="184" t="e">
        <f t="shared" si="8"/>
        <v>#DIV/0!</v>
      </c>
      <c r="AG41" s="184">
        <v>0</v>
      </c>
      <c r="AH41" s="167">
        <v>0</v>
      </c>
      <c r="AI41" s="167" t="e">
        <f t="shared" si="9"/>
        <v>#DIV/0!</v>
      </c>
      <c r="AJ41" s="167">
        <v>0</v>
      </c>
      <c r="AK41" s="184" t="e">
        <f t="shared" ref="AK41:AK107" si="68">AL41/AJ41</f>
        <v>#DIV/0!</v>
      </c>
      <c r="AL41" s="184">
        <v>0</v>
      </c>
      <c r="AM41" s="167">
        <v>0</v>
      </c>
      <c r="AN41" s="167" t="e">
        <f t="shared" si="10"/>
        <v>#DIV/0!</v>
      </c>
      <c r="AO41" s="167">
        <v>0</v>
      </c>
      <c r="AP41" s="184" t="e">
        <f t="shared" si="11"/>
        <v>#DIV/0!</v>
      </c>
      <c r="AQ41" s="184">
        <v>0</v>
      </c>
      <c r="AR41" s="167">
        <v>0</v>
      </c>
      <c r="AS41" s="167" t="e">
        <f t="shared" si="12"/>
        <v>#DIV/0!</v>
      </c>
      <c r="AT41" s="167">
        <v>0</v>
      </c>
      <c r="AU41" s="184" t="e">
        <f t="shared" si="13"/>
        <v>#DIV/0!</v>
      </c>
      <c r="AV41" s="184">
        <v>0</v>
      </c>
      <c r="AW41" s="167">
        <f>'Factor D Back Up'!D1746</f>
        <v>0</v>
      </c>
      <c r="AX41" s="167">
        <f>'Factor D Back Up'!E1746</f>
        <v>0</v>
      </c>
      <c r="AY41" s="167">
        <f>'Factor D Back Up'!F1746</f>
        <v>0</v>
      </c>
      <c r="AZ41" s="184">
        <f>'Factor D Back Up'!G1746</f>
        <v>8.2799999999999994</v>
      </c>
      <c r="BA41" s="184">
        <f>'Factor D Back Up'!H1746</f>
        <v>0</v>
      </c>
      <c r="BB41" s="167">
        <f>'Factor D Back Up'!D1747</f>
        <v>10</v>
      </c>
      <c r="BC41" s="167">
        <f>'Factor D Back Up'!E1747</f>
        <v>13</v>
      </c>
      <c r="BD41" s="167">
        <f>'Factor D Back Up'!F1747</f>
        <v>130</v>
      </c>
      <c r="BE41" s="184">
        <f>'Factor D Back Up'!G1747</f>
        <v>8.4952799999999993</v>
      </c>
      <c r="BF41" s="184">
        <f>'Factor D Back Up'!H1747</f>
        <v>1104.3863999999999</v>
      </c>
      <c r="BG41" s="167">
        <f>'Factor D Back Up'!D1748</f>
        <v>15</v>
      </c>
      <c r="BH41" s="167">
        <f>'Factor D Back Up'!E1748</f>
        <v>13</v>
      </c>
      <c r="BI41" s="167">
        <f>'Factor D Back Up'!F1748</f>
        <v>195</v>
      </c>
      <c r="BJ41" s="184">
        <f>'Factor D Back Up'!G1748</f>
        <v>8.7161572799999991</v>
      </c>
      <c r="BK41" s="184">
        <f>'Factor D Back Up'!H1748</f>
        <v>1699.6506695999999</v>
      </c>
      <c r="BL41" s="167">
        <f>'Factor D Back Up'!D1749</f>
        <v>25</v>
      </c>
      <c r="BM41" s="167">
        <f>'Factor D Back Up'!E1749</f>
        <v>13</v>
      </c>
      <c r="BN41" s="167">
        <f>'Factor D Back Up'!F1749</f>
        <v>325</v>
      </c>
      <c r="BO41" s="184">
        <f>'Factor D Back Up'!G1749</f>
        <v>8.9427773692799999</v>
      </c>
      <c r="BP41" s="184">
        <f>'Factor D Back Up'!H1749</f>
        <v>2906.402645016</v>
      </c>
      <c r="BQ41" s="167">
        <f>'Factor D Back Up'!D1750</f>
        <v>50</v>
      </c>
      <c r="BR41" s="167">
        <f>'Factor D Back Up'!E1750</f>
        <v>13</v>
      </c>
      <c r="BS41" s="167">
        <f>'Factor D Back Up'!F1750</f>
        <v>650</v>
      </c>
      <c r="BT41" s="184">
        <f>'Factor D Back Up'!G1750</f>
        <v>9.1752895808812802</v>
      </c>
      <c r="BU41" s="184">
        <f>'Factor D Back Up'!H1750</f>
        <v>5963.9382275728321</v>
      </c>
      <c r="BV41" s="167">
        <f>'Factor D Back Up'!D1751</f>
        <v>100</v>
      </c>
      <c r="BW41" s="167">
        <f>'Factor D Back Up'!E1751</f>
        <v>13</v>
      </c>
      <c r="BX41" s="167">
        <f>'Factor D Back Up'!F1751</f>
        <v>1300</v>
      </c>
      <c r="BY41" s="184">
        <f>'Factor D Back Up'!G1751</f>
        <v>9.4138471099841929</v>
      </c>
      <c r="BZ41" s="184">
        <f>'Factor D Back Up'!H1751</f>
        <v>12238.001242979451</v>
      </c>
      <c r="CA41" s="86"/>
      <c r="CB41" s="187">
        <f t="shared" si="14"/>
        <v>23912.37918516828</v>
      </c>
      <c r="CC41" s="282"/>
      <c r="CD41" s="281">
        <f t="shared" si="15"/>
        <v>23912.37918516828</v>
      </c>
      <c r="CE41" s="86"/>
      <c r="CF41" s="576">
        <f t="shared" si="16"/>
        <v>23912.379185168284</v>
      </c>
      <c r="CG41" s="86"/>
      <c r="CH41" s="86"/>
      <c r="CI41" s="86"/>
    </row>
    <row r="42" spans="1:87" ht="15" customHeight="1" x14ac:dyDescent="0.25">
      <c r="A42" s="80" t="s">
        <v>545</v>
      </c>
      <c r="B42" s="165"/>
      <c r="C42" s="590" t="s">
        <v>135</v>
      </c>
      <c r="D42" s="167">
        <v>0</v>
      </c>
      <c r="E42" s="167" t="e">
        <f t="shared" si="63"/>
        <v>#DIV/0!</v>
      </c>
      <c r="F42" s="167">
        <v>0</v>
      </c>
      <c r="G42" s="184" t="e">
        <f t="shared" si="64"/>
        <v>#DIV/0!</v>
      </c>
      <c r="H42" s="184">
        <v>0</v>
      </c>
      <c r="I42" s="167">
        <v>0</v>
      </c>
      <c r="J42" s="167" t="e">
        <f t="shared" si="59"/>
        <v>#DIV/0!</v>
      </c>
      <c r="K42" s="167">
        <v>0</v>
      </c>
      <c r="L42" s="184" t="e">
        <f t="shared" si="60"/>
        <v>#DIV/0!</v>
      </c>
      <c r="M42" s="184">
        <v>0</v>
      </c>
      <c r="N42" s="167">
        <v>0</v>
      </c>
      <c r="O42" s="167" t="e">
        <f t="shared" si="65"/>
        <v>#DIV/0!</v>
      </c>
      <c r="P42" s="167">
        <v>0</v>
      </c>
      <c r="Q42" s="184" t="e">
        <f t="shared" si="66"/>
        <v>#DIV/0!</v>
      </c>
      <c r="R42" s="184">
        <v>0</v>
      </c>
      <c r="S42" s="167">
        <v>0</v>
      </c>
      <c r="T42" s="167" t="e">
        <f t="shared" si="4"/>
        <v>#DIV/0!</v>
      </c>
      <c r="U42" s="167">
        <v>0</v>
      </c>
      <c r="V42" s="184" t="e">
        <f t="shared" si="67"/>
        <v>#DIV/0!</v>
      </c>
      <c r="W42" s="184">
        <v>0</v>
      </c>
      <c r="X42" s="167">
        <v>0</v>
      </c>
      <c r="Y42" s="167" t="e">
        <f t="shared" si="5"/>
        <v>#DIV/0!</v>
      </c>
      <c r="Z42" s="167">
        <v>0</v>
      </c>
      <c r="AA42" s="184" t="e">
        <f t="shared" si="6"/>
        <v>#DIV/0!</v>
      </c>
      <c r="AB42" s="184">
        <v>0</v>
      </c>
      <c r="AC42" s="167">
        <v>0</v>
      </c>
      <c r="AD42" s="167" t="e">
        <f t="shared" si="7"/>
        <v>#DIV/0!</v>
      </c>
      <c r="AE42" s="167">
        <v>0</v>
      </c>
      <c r="AF42" s="184" t="e">
        <f t="shared" si="8"/>
        <v>#DIV/0!</v>
      </c>
      <c r="AG42" s="184">
        <v>0</v>
      </c>
      <c r="AH42" s="167">
        <v>0</v>
      </c>
      <c r="AI42" s="167" t="e">
        <f t="shared" si="9"/>
        <v>#DIV/0!</v>
      </c>
      <c r="AJ42" s="167">
        <v>0</v>
      </c>
      <c r="AK42" s="184" t="e">
        <f t="shared" si="68"/>
        <v>#DIV/0!</v>
      </c>
      <c r="AL42" s="184">
        <v>0</v>
      </c>
      <c r="AM42" s="167">
        <v>0</v>
      </c>
      <c r="AN42" s="167" t="e">
        <f t="shared" si="10"/>
        <v>#DIV/0!</v>
      </c>
      <c r="AO42" s="167">
        <v>0</v>
      </c>
      <c r="AP42" s="184" t="e">
        <f t="shared" si="11"/>
        <v>#DIV/0!</v>
      </c>
      <c r="AQ42" s="184">
        <v>0</v>
      </c>
      <c r="AR42" s="167">
        <v>0</v>
      </c>
      <c r="AS42" s="167" t="e">
        <f t="shared" si="12"/>
        <v>#DIV/0!</v>
      </c>
      <c r="AT42" s="167">
        <v>0</v>
      </c>
      <c r="AU42" s="184" t="e">
        <f t="shared" si="13"/>
        <v>#DIV/0!</v>
      </c>
      <c r="AV42" s="184">
        <v>0</v>
      </c>
      <c r="AW42" s="167">
        <f>'Factor D Back Up'!D1800</f>
        <v>0</v>
      </c>
      <c r="AX42" s="167">
        <f>'Factor D Back Up'!E1800</f>
        <v>0</v>
      </c>
      <c r="AY42" s="167">
        <f>'Factor D Back Up'!F1800</f>
        <v>0</v>
      </c>
      <c r="AZ42" s="184">
        <f>'Factor D Back Up'!G1800</f>
        <v>7.37</v>
      </c>
      <c r="BA42" s="184">
        <f>'Factor D Back Up'!H1800</f>
        <v>0</v>
      </c>
      <c r="BB42" s="167">
        <f>'Factor D Back Up'!D1801</f>
        <v>5</v>
      </c>
      <c r="BC42" s="167">
        <f>'Factor D Back Up'!E1801</f>
        <v>156</v>
      </c>
      <c r="BD42" s="167">
        <f>'Factor D Back Up'!F1801</f>
        <v>780</v>
      </c>
      <c r="BE42" s="184">
        <f>'Factor D Back Up'!G1801</f>
        <v>7.5616200000000005</v>
      </c>
      <c r="BF42" s="184">
        <f>'Factor D Back Up'!H1801</f>
        <v>5898.0636000000004</v>
      </c>
      <c r="BG42" s="167">
        <f>'Factor D Back Up'!D1802</f>
        <v>5</v>
      </c>
      <c r="BH42" s="167">
        <f>'Factor D Back Up'!E1802</f>
        <v>156</v>
      </c>
      <c r="BI42" s="167">
        <f>'Factor D Back Up'!F1802</f>
        <v>780</v>
      </c>
      <c r="BJ42" s="184">
        <f>'Factor D Back Up'!G1802</f>
        <v>7.7582221200000001</v>
      </c>
      <c r="BK42" s="184">
        <f>'Factor D Back Up'!H1802</f>
        <v>6051.4132535999997</v>
      </c>
      <c r="BL42" s="167">
        <f>'Factor D Back Up'!D1803</f>
        <v>5</v>
      </c>
      <c r="BM42" s="167">
        <f>'Factor D Back Up'!E1803</f>
        <v>156</v>
      </c>
      <c r="BN42" s="167">
        <f>'Factor D Back Up'!F1803</f>
        <v>780</v>
      </c>
      <c r="BO42" s="184">
        <f>'Factor D Back Up'!G1803</f>
        <v>7.9599358951200001</v>
      </c>
      <c r="BP42" s="184">
        <f>'Factor D Back Up'!H1803</f>
        <v>6208.7499981935998</v>
      </c>
      <c r="BQ42" s="167">
        <f>'Factor D Back Up'!D1804</f>
        <v>5</v>
      </c>
      <c r="BR42" s="167">
        <f>'Factor D Back Up'!E1804</f>
        <v>156</v>
      </c>
      <c r="BS42" s="167">
        <f>'Factor D Back Up'!F1804</f>
        <v>780</v>
      </c>
      <c r="BT42" s="184">
        <f>'Factor D Back Up'!G1804</f>
        <v>8.1668942283931205</v>
      </c>
      <c r="BU42" s="184">
        <f>'Factor D Back Up'!H1804</f>
        <v>6370.1774981466342</v>
      </c>
      <c r="BV42" s="167">
        <f>'Factor D Back Up'!D1805</f>
        <v>5</v>
      </c>
      <c r="BW42" s="167">
        <f>'Factor D Back Up'!E1805</f>
        <v>156</v>
      </c>
      <c r="BX42" s="167">
        <f>'Factor D Back Up'!F1805</f>
        <v>780</v>
      </c>
      <c r="BY42" s="184">
        <f>'Factor D Back Up'!G1805</f>
        <v>8.3792334783313418</v>
      </c>
      <c r="BZ42" s="184">
        <f>'Factor D Back Up'!H1805</f>
        <v>6535.8021130984462</v>
      </c>
      <c r="CA42" s="86"/>
      <c r="CB42" s="187">
        <f t="shared" si="14"/>
        <v>31064.206463038681</v>
      </c>
      <c r="CC42" s="282"/>
      <c r="CD42" s="281">
        <f t="shared" si="15"/>
        <v>31064.206463038681</v>
      </c>
      <c r="CE42" s="86"/>
      <c r="CF42" s="576">
        <f t="shared" si="16"/>
        <v>31064.206463038681</v>
      </c>
      <c r="CG42" s="86"/>
      <c r="CH42" s="86"/>
      <c r="CI42" s="86"/>
    </row>
    <row r="43" spans="1:87" ht="15" customHeight="1" x14ac:dyDescent="0.25">
      <c r="A43" s="80" t="s">
        <v>546</v>
      </c>
      <c r="B43" s="165"/>
      <c r="C43" s="590" t="s">
        <v>135</v>
      </c>
      <c r="D43" s="167">
        <v>0</v>
      </c>
      <c r="E43" s="167" t="e">
        <f t="shared" ref="E43:E45" si="69">F43/D43</f>
        <v>#DIV/0!</v>
      </c>
      <c r="F43" s="167">
        <v>0</v>
      </c>
      <c r="G43" s="184" t="e">
        <f t="shared" ref="G43:G45" si="70">H43/F43</f>
        <v>#DIV/0!</v>
      </c>
      <c r="H43" s="184">
        <v>0</v>
      </c>
      <c r="I43" s="167">
        <v>0</v>
      </c>
      <c r="J43" s="167" t="e">
        <f t="shared" ref="J43:J45" si="71">K43/I43</f>
        <v>#DIV/0!</v>
      </c>
      <c r="K43" s="167">
        <v>0</v>
      </c>
      <c r="L43" s="184" t="e">
        <f t="shared" ref="L43:L45" si="72">M43/K43</f>
        <v>#DIV/0!</v>
      </c>
      <c r="M43" s="184">
        <v>0</v>
      </c>
      <c r="N43" s="167">
        <v>0</v>
      </c>
      <c r="O43" s="167" t="e">
        <f t="shared" ref="O43:O45" si="73">P43/N43</f>
        <v>#DIV/0!</v>
      </c>
      <c r="P43" s="167">
        <v>0</v>
      </c>
      <c r="Q43" s="184" t="e">
        <f t="shared" ref="Q43:Q45" si="74">R43/P43</f>
        <v>#DIV/0!</v>
      </c>
      <c r="R43" s="184">
        <v>0</v>
      </c>
      <c r="S43" s="167">
        <v>0</v>
      </c>
      <c r="T43" s="167" t="e">
        <f t="shared" ref="T43:T45" si="75">U43/S43</f>
        <v>#DIV/0!</v>
      </c>
      <c r="U43" s="167">
        <v>0</v>
      </c>
      <c r="V43" s="184" t="e">
        <f t="shared" ref="V43:V45" si="76">W43/U43</f>
        <v>#DIV/0!</v>
      </c>
      <c r="W43" s="184">
        <v>0</v>
      </c>
      <c r="X43" s="167">
        <v>0</v>
      </c>
      <c r="Y43" s="167" t="e">
        <f t="shared" ref="Y43:Y45" si="77">Z43/X43</f>
        <v>#DIV/0!</v>
      </c>
      <c r="Z43" s="167">
        <v>0</v>
      </c>
      <c r="AA43" s="184" t="e">
        <f t="shared" ref="AA43:AA45" si="78">AB43/Z43</f>
        <v>#DIV/0!</v>
      </c>
      <c r="AB43" s="184">
        <v>0</v>
      </c>
      <c r="AC43" s="167">
        <v>0</v>
      </c>
      <c r="AD43" s="167" t="e">
        <f t="shared" ref="AD43:AD45" si="79">AE43/AC43</f>
        <v>#DIV/0!</v>
      </c>
      <c r="AE43" s="167">
        <v>0</v>
      </c>
      <c r="AF43" s="184" t="e">
        <f t="shared" ref="AF43:AF45" si="80">AG43/AE43</f>
        <v>#DIV/0!</v>
      </c>
      <c r="AG43" s="184">
        <v>0</v>
      </c>
      <c r="AH43" s="167">
        <v>0</v>
      </c>
      <c r="AI43" s="167" t="e">
        <f t="shared" ref="AI43:AI45" si="81">AJ43/AH43</f>
        <v>#DIV/0!</v>
      </c>
      <c r="AJ43" s="167">
        <v>0</v>
      </c>
      <c r="AK43" s="184" t="e">
        <f t="shared" ref="AK43:AK45" si="82">AL43/AJ43</f>
        <v>#DIV/0!</v>
      </c>
      <c r="AL43" s="184">
        <v>0</v>
      </c>
      <c r="AM43" s="167">
        <v>0</v>
      </c>
      <c r="AN43" s="167" t="e">
        <f t="shared" ref="AN43:AN45" si="83">AO43/AM43</f>
        <v>#DIV/0!</v>
      </c>
      <c r="AO43" s="167">
        <v>0</v>
      </c>
      <c r="AP43" s="184" t="e">
        <f t="shared" ref="AP43:AP45" si="84">AQ43/AO43</f>
        <v>#DIV/0!</v>
      </c>
      <c r="AQ43" s="184">
        <v>0</v>
      </c>
      <c r="AR43" s="167">
        <v>0</v>
      </c>
      <c r="AS43" s="167" t="e">
        <f t="shared" ref="AS43:AS45" si="85">AT43/AR43</f>
        <v>#DIV/0!</v>
      </c>
      <c r="AT43" s="167">
        <v>0</v>
      </c>
      <c r="AU43" s="184" t="e">
        <f t="shared" ref="AU43:AU45" si="86">AV43/AT43</f>
        <v>#DIV/0!</v>
      </c>
      <c r="AV43" s="184">
        <v>0</v>
      </c>
      <c r="AW43" s="167">
        <v>0</v>
      </c>
      <c r="AX43" s="167" t="e">
        <f t="shared" ref="AX43:AX45" si="87">AY43/AW43</f>
        <v>#DIV/0!</v>
      </c>
      <c r="AY43" s="167">
        <v>0</v>
      </c>
      <c r="AZ43" s="184" t="e">
        <f t="shared" ref="AZ43:AZ45" si="88">BA43/AY43</f>
        <v>#DIV/0!</v>
      </c>
      <c r="BA43" s="184">
        <v>0</v>
      </c>
      <c r="BB43" s="167">
        <f>'Factor D Back Up'!D1819</f>
        <v>3</v>
      </c>
      <c r="BC43" s="167">
        <f>'Factor D Back Up'!E1819</f>
        <v>156</v>
      </c>
      <c r="BD43" s="167">
        <f>'Factor D Back Up'!F1819</f>
        <v>468</v>
      </c>
      <c r="BE43" s="184">
        <f>'Factor D Back Up'!G1819</f>
        <v>5.19156</v>
      </c>
      <c r="BF43" s="184">
        <f>'Factor D Back Up'!H1819</f>
        <v>2429.6500799999999</v>
      </c>
      <c r="BG43" s="167">
        <f>'Factor D Back Up'!D1820</f>
        <v>3</v>
      </c>
      <c r="BH43" s="167">
        <f>'Factor D Back Up'!E1820</f>
        <v>156</v>
      </c>
      <c r="BI43" s="167">
        <f>'Factor D Back Up'!F1820</f>
        <v>468</v>
      </c>
      <c r="BJ43" s="184">
        <f>'Factor D Back Up'!G1820</f>
        <v>5.3265405599999998</v>
      </c>
      <c r="BK43" s="184">
        <f>'Factor D Back Up'!H1820</f>
        <v>2492.8209820799998</v>
      </c>
      <c r="BL43" s="167">
        <f>'Factor D Back Up'!D1821</f>
        <v>3</v>
      </c>
      <c r="BM43" s="167">
        <f>'Factor D Back Up'!E1821</f>
        <v>156</v>
      </c>
      <c r="BN43" s="167">
        <f>'Factor D Back Up'!F1821</f>
        <v>468</v>
      </c>
      <c r="BO43" s="184">
        <f>'Factor D Back Up'!G1821</f>
        <v>5.4650306145599998</v>
      </c>
      <c r="BP43" s="184">
        <f>'Factor D Back Up'!H1821</f>
        <v>2557.6343276140801</v>
      </c>
      <c r="BQ43" s="167">
        <f>'Factor D Back Up'!D1822</f>
        <v>3</v>
      </c>
      <c r="BR43" s="167">
        <f>'Factor D Back Up'!E1822</f>
        <v>156</v>
      </c>
      <c r="BS43" s="167">
        <f>'Factor D Back Up'!F1822</f>
        <v>468</v>
      </c>
      <c r="BT43" s="184">
        <f>'Factor D Back Up'!G1822</f>
        <v>5.6071214105385598</v>
      </c>
      <c r="BU43" s="184">
        <f>'Factor D Back Up'!H1822</f>
        <v>2624.1328201320462</v>
      </c>
      <c r="BV43" s="167">
        <f>'Factor D Back Up'!D1823</f>
        <v>3</v>
      </c>
      <c r="BW43" s="167">
        <f>'Factor D Back Up'!E1823</f>
        <v>156</v>
      </c>
      <c r="BX43" s="167">
        <f>'Factor D Back Up'!F1823</f>
        <v>468</v>
      </c>
      <c r="BY43" s="184">
        <f>'Factor D Back Up'!G1823</f>
        <v>5.7529065672125625</v>
      </c>
      <c r="BZ43" s="184">
        <f>'Factor D Back Up'!H1823</f>
        <v>2692.3602734554793</v>
      </c>
      <c r="CA43" s="86"/>
      <c r="CB43" s="187"/>
      <c r="CC43" s="282"/>
      <c r="CD43" s="281"/>
      <c r="CE43" s="86"/>
      <c r="CF43" s="576">
        <f t="shared" si="16"/>
        <v>12796.598483281605</v>
      </c>
      <c r="CG43" s="86"/>
      <c r="CH43" s="86"/>
      <c r="CI43" s="86"/>
    </row>
    <row r="44" spans="1:87" ht="15" customHeight="1" x14ac:dyDescent="0.25">
      <c r="A44" s="80" t="s">
        <v>547</v>
      </c>
      <c r="B44" s="165"/>
      <c r="C44" s="590" t="s">
        <v>135</v>
      </c>
      <c r="D44" s="167">
        <v>0</v>
      </c>
      <c r="E44" s="167" t="e">
        <f t="shared" si="69"/>
        <v>#DIV/0!</v>
      </c>
      <c r="F44" s="167">
        <v>0</v>
      </c>
      <c r="G44" s="184" t="e">
        <f t="shared" si="70"/>
        <v>#DIV/0!</v>
      </c>
      <c r="H44" s="184">
        <v>0</v>
      </c>
      <c r="I44" s="167">
        <v>0</v>
      </c>
      <c r="J44" s="167" t="e">
        <f t="shared" si="71"/>
        <v>#DIV/0!</v>
      </c>
      <c r="K44" s="167">
        <v>0</v>
      </c>
      <c r="L44" s="184" t="e">
        <f t="shared" si="72"/>
        <v>#DIV/0!</v>
      </c>
      <c r="M44" s="184">
        <v>0</v>
      </c>
      <c r="N44" s="167">
        <v>0</v>
      </c>
      <c r="O44" s="167" t="e">
        <f t="shared" si="73"/>
        <v>#DIV/0!</v>
      </c>
      <c r="P44" s="167">
        <v>0</v>
      </c>
      <c r="Q44" s="184" t="e">
        <f t="shared" si="74"/>
        <v>#DIV/0!</v>
      </c>
      <c r="R44" s="184">
        <v>0</v>
      </c>
      <c r="S44" s="167">
        <v>0</v>
      </c>
      <c r="T44" s="167" t="e">
        <f t="shared" si="75"/>
        <v>#DIV/0!</v>
      </c>
      <c r="U44" s="167">
        <v>0</v>
      </c>
      <c r="V44" s="184" t="e">
        <f t="shared" si="76"/>
        <v>#DIV/0!</v>
      </c>
      <c r="W44" s="184">
        <v>0</v>
      </c>
      <c r="X44" s="167">
        <v>0</v>
      </c>
      <c r="Y44" s="167" t="e">
        <f t="shared" si="77"/>
        <v>#DIV/0!</v>
      </c>
      <c r="Z44" s="167">
        <v>0</v>
      </c>
      <c r="AA44" s="184" t="e">
        <f t="shared" si="78"/>
        <v>#DIV/0!</v>
      </c>
      <c r="AB44" s="184">
        <v>0</v>
      </c>
      <c r="AC44" s="167">
        <v>0</v>
      </c>
      <c r="AD44" s="167" t="e">
        <f t="shared" si="79"/>
        <v>#DIV/0!</v>
      </c>
      <c r="AE44" s="167">
        <v>0</v>
      </c>
      <c r="AF44" s="184" t="e">
        <f t="shared" si="80"/>
        <v>#DIV/0!</v>
      </c>
      <c r="AG44" s="184">
        <v>0</v>
      </c>
      <c r="AH44" s="167">
        <v>0</v>
      </c>
      <c r="AI44" s="167" t="e">
        <f t="shared" si="81"/>
        <v>#DIV/0!</v>
      </c>
      <c r="AJ44" s="167">
        <v>0</v>
      </c>
      <c r="AK44" s="184" t="e">
        <f t="shared" si="82"/>
        <v>#DIV/0!</v>
      </c>
      <c r="AL44" s="184">
        <v>0</v>
      </c>
      <c r="AM44" s="167">
        <v>0</v>
      </c>
      <c r="AN44" s="167" t="e">
        <f t="shared" si="83"/>
        <v>#DIV/0!</v>
      </c>
      <c r="AO44" s="167">
        <v>0</v>
      </c>
      <c r="AP44" s="184" t="e">
        <f t="shared" si="84"/>
        <v>#DIV/0!</v>
      </c>
      <c r="AQ44" s="184">
        <v>0</v>
      </c>
      <c r="AR44" s="167">
        <v>0</v>
      </c>
      <c r="AS44" s="167" t="e">
        <f t="shared" si="85"/>
        <v>#DIV/0!</v>
      </c>
      <c r="AT44" s="167">
        <v>0</v>
      </c>
      <c r="AU44" s="184" t="e">
        <f t="shared" si="86"/>
        <v>#DIV/0!</v>
      </c>
      <c r="AV44" s="184">
        <v>0</v>
      </c>
      <c r="AW44" s="167">
        <v>0</v>
      </c>
      <c r="AX44" s="167" t="e">
        <f t="shared" si="87"/>
        <v>#DIV/0!</v>
      </c>
      <c r="AY44" s="167">
        <v>0</v>
      </c>
      <c r="AZ44" s="184" t="e">
        <f t="shared" si="88"/>
        <v>#DIV/0!</v>
      </c>
      <c r="BA44" s="184">
        <v>0</v>
      </c>
      <c r="BB44" s="167">
        <f>'Factor D Back Up'!D1837</f>
        <v>64</v>
      </c>
      <c r="BC44" s="167">
        <f>'Factor D Back Up'!E1837</f>
        <v>156</v>
      </c>
      <c r="BD44" s="167">
        <f>'Factor D Back Up'!F1837</f>
        <v>9984</v>
      </c>
      <c r="BE44" s="184">
        <f>'Factor D Back Up'!G1837</f>
        <v>7.5616200000000005</v>
      </c>
      <c r="BF44" s="184">
        <f>'Factor D Back Up'!H1837</f>
        <v>75495.214080000005</v>
      </c>
      <c r="BG44" s="167">
        <f>'Factor D Back Up'!D1838</f>
        <v>65</v>
      </c>
      <c r="BH44" s="167">
        <f>'Factor D Back Up'!E1838</f>
        <v>156</v>
      </c>
      <c r="BI44" s="167">
        <f>'Factor D Back Up'!F1838</f>
        <v>10140</v>
      </c>
      <c r="BJ44" s="184">
        <f>'Factor D Back Up'!G1838</f>
        <v>7.7582221200000001</v>
      </c>
      <c r="BK44" s="184">
        <f>'Factor D Back Up'!H1838</f>
        <v>78668.372296800007</v>
      </c>
      <c r="BL44" s="167">
        <f>'Factor D Back Up'!D1839</f>
        <v>67</v>
      </c>
      <c r="BM44" s="167">
        <f>'Factor D Back Up'!E1839</f>
        <v>156</v>
      </c>
      <c r="BN44" s="167">
        <f>'Factor D Back Up'!F1839</f>
        <v>10452</v>
      </c>
      <c r="BO44" s="184">
        <f>'Factor D Back Up'!G1839</f>
        <v>7.9599358951200001</v>
      </c>
      <c r="BP44" s="184">
        <f>'Factor D Back Up'!H1839</f>
        <v>83197.249975794242</v>
      </c>
      <c r="BQ44" s="167">
        <f>'Factor D Back Up'!D1840</f>
        <v>69</v>
      </c>
      <c r="BR44" s="167">
        <f>'Factor D Back Up'!E1840</f>
        <v>156</v>
      </c>
      <c r="BS44" s="167">
        <f>'Factor D Back Up'!F1840</f>
        <v>10764</v>
      </c>
      <c r="BT44" s="184">
        <f>'Factor D Back Up'!G1840</f>
        <v>8.1668942283931205</v>
      </c>
      <c r="BU44" s="184">
        <f>'Factor D Back Up'!H1840</f>
        <v>87908.449474423556</v>
      </c>
      <c r="BV44" s="167">
        <f>'Factor D Back Up'!D1841</f>
        <v>71</v>
      </c>
      <c r="BW44" s="167">
        <f>'Factor D Back Up'!E1841</f>
        <v>156</v>
      </c>
      <c r="BX44" s="167">
        <f>'Factor D Back Up'!F1841</f>
        <v>11076</v>
      </c>
      <c r="BY44" s="184">
        <f>'Factor D Back Up'!G1841</f>
        <v>8.3792334783313418</v>
      </c>
      <c r="BZ44" s="184">
        <f>'Factor D Back Up'!H1841</f>
        <v>92808.390005997935</v>
      </c>
      <c r="CA44" s="86"/>
      <c r="CB44" s="187"/>
      <c r="CC44" s="282"/>
      <c r="CD44" s="281"/>
      <c r="CE44" s="86"/>
      <c r="CF44" s="576">
        <f t="shared" si="16"/>
        <v>418077.6758330157</v>
      </c>
      <c r="CG44" s="86"/>
      <c r="CH44" s="86"/>
      <c r="CI44" s="86"/>
    </row>
    <row r="45" spans="1:87" ht="15" customHeight="1" x14ac:dyDescent="0.25">
      <c r="A45" s="80" t="s">
        <v>548</v>
      </c>
      <c r="B45" s="165"/>
      <c r="C45" s="590" t="s">
        <v>135</v>
      </c>
      <c r="D45" s="167">
        <v>0</v>
      </c>
      <c r="E45" s="167" t="e">
        <f t="shared" si="69"/>
        <v>#DIV/0!</v>
      </c>
      <c r="F45" s="167">
        <v>0</v>
      </c>
      <c r="G45" s="184" t="e">
        <f t="shared" si="70"/>
        <v>#DIV/0!</v>
      </c>
      <c r="H45" s="184">
        <v>0</v>
      </c>
      <c r="I45" s="167">
        <v>0</v>
      </c>
      <c r="J45" s="167" t="e">
        <f t="shared" si="71"/>
        <v>#DIV/0!</v>
      </c>
      <c r="K45" s="167">
        <v>0</v>
      </c>
      <c r="L45" s="184" t="e">
        <f t="shared" si="72"/>
        <v>#DIV/0!</v>
      </c>
      <c r="M45" s="184">
        <v>0</v>
      </c>
      <c r="N45" s="167">
        <v>0</v>
      </c>
      <c r="O45" s="167" t="e">
        <f t="shared" si="73"/>
        <v>#DIV/0!</v>
      </c>
      <c r="P45" s="167">
        <v>0</v>
      </c>
      <c r="Q45" s="184" t="e">
        <f t="shared" si="74"/>
        <v>#DIV/0!</v>
      </c>
      <c r="R45" s="184">
        <v>0</v>
      </c>
      <c r="S45" s="167">
        <v>0</v>
      </c>
      <c r="T45" s="167" t="e">
        <f t="shared" si="75"/>
        <v>#DIV/0!</v>
      </c>
      <c r="U45" s="167">
        <v>0</v>
      </c>
      <c r="V45" s="184" t="e">
        <f t="shared" si="76"/>
        <v>#DIV/0!</v>
      </c>
      <c r="W45" s="184">
        <v>0</v>
      </c>
      <c r="X45" s="167">
        <v>0</v>
      </c>
      <c r="Y45" s="167" t="e">
        <f t="shared" si="77"/>
        <v>#DIV/0!</v>
      </c>
      <c r="Z45" s="167">
        <v>0</v>
      </c>
      <c r="AA45" s="184" t="e">
        <f t="shared" si="78"/>
        <v>#DIV/0!</v>
      </c>
      <c r="AB45" s="184">
        <v>0</v>
      </c>
      <c r="AC45" s="167">
        <v>0</v>
      </c>
      <c r="AD45" s="167" t="e">
        <f t="shared" si="79"/>
        <v>#DIV/0!</v>
      </c>
      <c r="AE45" s="167">
        <v>0</v>
      </c>
      <c r="AF45" s="184" t="e">
        <f t="shared" si="80"/>
        <v>#DIV/0!</v>
      </c>
      <c r="AG45" s="184">
        <v>0</v>
      </c>
      <c r="AH45" s="167">
        <v>0</v>
      </c>
      <c r="AI45" s="167" t="e">
        <f t="shared" si="81"/>
        <v>#DIV/0!</v>
      </c>
      <c r="AJ45" s="167">
        <v>0</v>
      </c>
      <c r="AK45" s="184" t="e">
        <f t="shared" si="82"/>
        <v>#DIV/0!</v>
      </c>
      <c r="AL45" s="184">
        <v>0</v>
      </c>
      <c r="AM45" s="167">
        <v>0</v>
      </c>
      <c r="AN45" s="167" t="e">
        <f t="shared" si="83"/>
        <v>#DIV/0!</v>
      </c>
      <c r="AO45" s="167">
        <v>0</v>
      </c>
      <c r="AP45" s="184" t="e">
        <f t="shared" si="84"/>
        <v>#DIV/0!</v>
      </c>
      <c r="AQ45" s="184">
        <v>0</v>
      </c>
      <c r="AR45" s="167">
        <v>0</v>
      </c>
      <c r="AS45" s="167" t="e">
        <f t="shared" si="85"/>
        <v>#DIV/0!</v>
      </c>
      <c r="AT45" s="167">
        <v>0</v>
      </c>
      <c r="AU45" s="184" t="e">
        <f t="shared" si="86"/>
        <v>#DIV/0!</v>
      </c>
      <c r="AV45" s="184">
        <v>0</v>
      </c>
      <c r="AW45" s="167">
        <v>0</v>
      </c>
      <c r="AX45" s="167" t="e">
        <f t="shared" si="87"/>
        <v>#DIV/0!</v>
      </c>
      <c r="AY45" s="167">
        <v>0</v>
      </c>
      <c r="AZ45" s="184" t="e">
        <f t="shared" si="88"/>
        <v>#DIV/0!</v>
      </c>
      <c r="BA45" s="184">
        <v>0</v>
      </c>
      <c r="BB45" s="167">
        <f>'Factor D Back Up'!D1855</f>
        <v>102</v>
      </c>
      <c r="BC45" s="167">
        <f>'Factor D Back Up'!E1855</f>
        <v>156</v>
      </c>
      <c r="BD45" s="167">
        <f>'Factor D Back Up'!F1855</f>
        <v>15912</v>
      </c>
      <c r="BE45" s="184">
        <f>'Factor D Back Up'!G1855</f>
        <v>5.19156</v>
      </c>
      <c r="BF45" s="184">
        <f>'Factor D Back Up'!H1855</f>
        <v>82608.102719999995</v>
      </c>
      <c r="BG45" s="167">
        <f>'Factor D Back Up'!D1856</f>
        <v>105</v>
      </c>
      <c r="BH45" s="167">
        <f>'Factor D Back Up'!E1856</f>
        <v>156</v>
      </c>
      <c r="BI45" s="167">
        <f>'Factor D Back Up'!F1856</f>
        <v>16380</v>
      </c>
      <c r="BJ45" s="184">
        <f>'Factor D Back Up'!G1856</f>
        <v>5.3265405599999998</v>
      </c>
      <c r="BK45" s="184">
        <f>'Factor D Back Up'!H1856</f>
        <v>87248.734372799998</v>
      </c>
      <c r="BL45" s="167">
        <f>'Factor D Back Up'!D1857</f>
        <v>108</v>
      </c>
      <c r="BM45" s="167">
        <f>'Factor D Back Up'!E1857</f>
        <v>156</v>
      </c>
      <c r="BN45" s="167">
        <f>'Factor D Back Up'!F1857</f>
        <v>16848</v>
      </c>
      <c r="BO45" s="184">
        <f>'Factor D Back Up'!G1857</f>
        <v>5.4650306145599998</v>
      </c>
      <c r="BP45" s="184">
        <f>'Factor D Back Up'!H1857</f>
        <v>92074.835794106883</v>
      </c>
      <c r="BQ45" s="167">
        <f>'Factor D Back Up'!D1858</f>
        <v>111</v>
      </c>
      <c r="BR45" s="167">
        <f>'Factor D Back Up'!E1858</f>
        <v>156</v>
      </c>
      <c r="BS45" s="167">
        <f>'Factor D Back Up'!F1858</f>
        <v>17316</v>
      </c>
      <c r="BT45" s="184">
        <f>'Factor D Back Up'!G1858</f>
        <v>5.6071214105385598</v>
      </c>
      <c r="BU45" s="184">
        <f>'Factor D Back Up'!H1858</f>
        <v>97092.914344885707</v>
      </c>
      <c r="BV45" s="167">
        <f>'Factor D Back Up'!D1859</f>
        <v>114</v>
      </c>
      <c r="BW45" s="167">
        <f>'Factor D Back Up'!E1859</f>
        <v>156</v>
      </c>
      <c r="BX45" s="167">
        <f>'Factor D Back Up'!F1859</f>
        <v>17784</v>
      </c>
      <c r="BY45" s="184">
        <f>'Factor D Back Up'!G1859</f>
        <v>5.7529065672125625</v>
      </c>
      <c r="BZ45" s="184">
        <f>'Factor D Back Up'!H1859</f>
        <v>102309.69039130821</v>
      </c>
      <c r="CA45" s="86"/>
      <c r="CB45" s="187"/>
      <c r="CC45" s="282"/>
      <c r="CD45" s="281"/>
      <c r="CE45" s="86"/>
      <c r="CF45" s="576">
        <f t="shared" si="16"/>
        <v>461334.27762310085</v>
      </c>
      <c r="CG45" s="86"/>
      <c r="CH45" s="86"/>
      <c r="CI45" s="86"/>
    </row>
    <row r="46" spans="1:87" ht="15" customHeight="1" x14ac:dyDescent="0.25">
      <c r="A46" s="80" t="s">
        <v>15</v>
      </c>
      <c r="B46" s="165"/>
      <c r="C46" s="590" t="s">
        <v>152</v>
      </c>
      <c r="D46" s="167">
        <v>398</v>
      </c>
      <c r="E46" s="167">
        <f t="shared" si="63"/>
        <v>2507.3718592964824</v>
      </c>
      <c r="F46" s="167">
        <v>997934</v>
      </c>
      <c r="G46" s="184">
        <f t="shared" si="64"/>
        <v>3.9310936695212306</v>
      </c>
      <c r="H46" s="184">
        <v>3922972.03</v>
      </c>
      <c r="I46" s="167">
        <v>423</v>
      </c>
      <c r="J46" s="167">
        <f t="shared" si="59"/>
        <v>3240.078014184397</v>
      </c>
      <c r="K46" s="167">
        <v>1370553</v>
      </c>
      <c r="L46" s="184">
        <f t="shared" si="60"/>
        <v>3.9175328206935451</v>
      </c>
      <c r="M46" s="184">
        <v>5369186.3600000003</v>
      </c>
      <c r="N46" s="167">
        <v>436</v>
      </c>
      <c r="O46" s="167">
        <f t="shared" si="65"/>
        <v>3145.7087155963304</v>
      </c>
      <c r="P46" s="167">
        <v>1371529</v>
      </c>
      <c r="Q46" s="184">
        <f t="shared" si="66"/>
        <v>3.9484665143792075</v>
      </c>
      <c r="R46" s="184">
        <v>5415436.3300000001</v>
      </c>
      <c r="S46" s="167">
        <v>472</v>
      </c>
      <c r="T46" s="167">
        <f t="shared" si="4"/>
        <v>2939.1868644067795</v>
      </c>
      <c r="U46" s="167">
        <v>1387296.2</v>
      </c>
      <c r="V46" s="184">
        <f t="shared" si="67"/>
        <v>3.9487367297625409</v>
      </c>
      <c r="W46" s="184">
        <v>5478067.46</v>
      </c>
      <c r="X46" s="167">
        <v>517</v>
      </c>
      <c r="Y46" s="167">
        <f t="shared" si="5"/>
        <v>3057.0387040618957</v>
      </c>
      <c r="Z46" s="167">
        <v>1580489.01</v>
      </c>
      <c r="AA46" s="184">
        <f t="shared" si="6"/>
        <v>3.9467328975606097</v>
      </c>
      <c r="AB46" s="184">
        <v>6237767.9699999997</v>
      </c>
      <c r="AC46" s="167">
        <v>356</v>
      </c>
      <c r="AD46" s="167">
        <f t="shared" si="7"/>
        <v>632.68258426966293</v>
      </c>
      <c r="AE46" s="167">
        <v>225235</v>
      </c>
      <c r="AF46" s="184">
        <f t="shared" si="8"/>
        <v>3.9056213732324019</v>
      </c>
      <c r="AG46" s="184">
        <v>879682.63</v>
      </c>
      <c r="AH46" s="167">
        <v>465</v>
      </c>
      <c r="AI46" s="167">
        <f t="shared" si="9"/>
        <v>2148.574193548387</v>
      </c>
      <c r="AJ46" s="167">
        <v>999087</v>
      </c>
      <c r="AK46" s="184">
        <f t="shared" si="68"/>
        <v>3.7993966291223886</v>
      </c>
      <c r="AL46" s="184">
        <v>3795927.78</v>
      </c>
      <c r="AM46" s="167">
        <v>486</v>
      </c>
      <c r="AN46" s="167">
        <f t="shared" si="10"/>
        <v>2680.7222222222222</v>
      </c>
      <c r="AO46" s="167">
        <v>1302831</v>
      </c>
      <c r="AP46" s="184">
        <f t="shared" si="11"/>
        <v>3.8485532736018713</v>
      </c>
      <c r="AQ46" s="184">
        <v>5014014.51</v>
      </c>
      <c r="AR46" s="167">
        <v>482</v>
      </c>
      <c r="AS46" s="167">
        <f t="shared" si="12"/>
        <v>2643.1244813278008</v>
      </c>
      <c r="AT46" s="167">
        <v>1273986</v>
      </c>
      <c r="AU46" s="184">
        <f t="shared" si="13"/>
        <v>4.5801882830737544</v>
      </c>
      <c r="AV46" s="184">
        <v>5835095.75</v>
      </c>
      <c r="AW46" s="167">
        <f>'Factor D Back Up'!D712</f>
        <v>477</v>
      </c>
      <c r="AX46" s="167">
        <f>'Factor D Back Up'!E712</f>
        <v>2101.9572199909189</v>
      </c>
      <c r="AY46" s="167">
        <f>'Factor D Back Up'!F712</f>
        <v>1002633.5939356684</v>
      </c>
      <c r="AZ46" s="184">
        <f>'Factor D Back Up'!G712</f>
        <v>4.7300000000000004</v>
      </c>
      <c r="BA46" s="184">
        <f>'Factor D Back Up'!H712</f>
        <v>4742456.899315712</v>
      </c>
      <c r="BB46" s="167">
        <f>'Factor D Back Up'!D713</f>
        <v>560</v>
      </c>
      <c r="BC46" s="167">
        <f>'Factor D Back Up'!E713</f>
        <v>2011.3600497910147</v>
      </c>
      <c r="BD46" s="167">
        <f>'Factor D Back Up'!F713</f>
        <v>1126361.6278829682</v>
      </c>
      <c r="BE46" s="184">
        <f>'Factor D Back Up'!G713</f>
        <v>4.8529800000000005</v>
      </c>
      <c r="BF46" s="184">
        <f>'Factor D Back Up'!H713</f>
        <v>5466210.4528834876</v>
      </c>
      <c r="BG46" s="167">
        <f>'Factor D Back Up'!D714</f>
        <v>600</v>
      </c>
      <c r="BH46" s="167">
        <f>'Factor D Back Up'!E714</f>
        <v>1920.7628795911103</v>
      </c>
      <c r="BI46" s="167">
        <f>'Factor D Back Up'!F714</f>
        <v>1152457.7277546662</v>
      </c>
      <c r="BJ46" s="184">
        <f>'Factor D Back Up'!G714</f>
        <v>4.9791574800000005</v>
      </c>
      <c r="BK46" s="184">
        <f>'Factor D Back Up'!H714</f>
        <v>5738268.515533451</v>
      </c>
      <c r="BL46" s="167">
        <f>'Factor D Back Up'!D715</f>
        <v>300</v>
      </c>
      <c r="BM46" s="167">
        <f>'Factor D Back Up'!E715</f>
        <v>1830.1657093912061</v>
      </c>
      <c r="BN46" s="167">
        <f>'Factor D Back Up'!F715</f>
        <v>549049.71281736181</v>
      </c>
      <c r="BO46" s="184">
        <f>'Factor D Back Up'!G715</f>
        <v>5.1086155744800008</v>
      </c>
      <c r="BP46" s="184">
        <f>'Factor D Back Up'!H715</f>
        <v>2804883.9140625461</v>
      </c>
      <c r="BQ46" s="167">
        <f>'Factor D Back Up'!D716</f>
        <v>150</v>
      </c>
      <c r="BR46" s="167">
        <f>'Factor D Back Up'!E716</f>
        <v>1739.5685391913019</v>
      </c>
      <c r="BS46" s="167">
        <f>'Factor D Back Up'!F716</f>
        <v>260935.28087869528</v>
      </c>
      <c r="BT46" s="184">
        <f>'Factor D Back Up'!G716</f>
        <v>5.2414395794164808</v>
      </c>
      <c r="BU46" s="184">
        <f>'Factor D Back Up'!H716</f>
        <v>1367676.5088637499</v>
      </c>
      <c r="BV46" s="167">
        <f>'Factor D Back Up'!D717</f>
        <v>150</v>
      </c>
      <c r="BW46" s="167">
        <f>'Factor D Back Up'!E717</f>
        <v>1648.9713689913976</v>
      </c>
      <c r="BX46" s="167">
        <f>'Factor D Back Up'!F717</f>
        <v>247345.70534870966</v>
      </c>
      <c r="BY46" s="184">
        <f>'Factor D Back Up'!G717</f>
        <v>5.3777170084813095</v>
      </c>
      <c r="BZ46" s="184">
        <f>'Factor D Back Up'!H717</f>
        <v>1330155.2066285624</v>
      </c>
      <c r="CA46" s="86"/>
      <c r="CB46" s="187">
        <f t="shared" si="14"/>
        <v>48690207.597287513</v>
      </c>
      <c r="CC46" s="282">
        <f>+'linked - DO NOT USE or DELETE'!H46+'linked - DO NOT USE or DELETE'!M46+'linked - DO NOT USE or DELETE'!R46</f>
        <v>14707594.720000001</v>
      </c>
      <c r="CD46" s="281">
        <f t="shared" si="15"/>
        <v>63397802.317287512</v>
      </c>
      <c r="CE46" s="86"/>
      <c r="CF46" s="576">
        <f t="shared" si="16"/>
        <v>63397802.317287505</v>
      </c>
      <c r="CG46" s="86"/>
      <c r="CH46" s="86"/>
      <c r="CI46" s="86"/>
    </row>
    <row r="47" spans="1:87" ht="15" customHeight="1" x14ac:dyDescent="0.25">
      <c r="A47" s="83" t="s">
        <v>354</v>
      </c>
      <c r="B47" s="165" t="s">
        <v>129</v>
      </c>
      <c r="C47" s="590" t="s">
        <v>152</v>
      </c>
      <c r="D47" s="167">
        <v>80</v>
      </c>
      <c r="E47" s="167">
        <f t="shared" si="63"/>
        <v>1068.5999999999999</v>
      </c>
      <c r="F47" s="167">
        <v>85488</v>
      </c>
      <c r="G47" s="184">
        <f t="shared" si="64"/>
        <v>10.126406981096762</v>
      </c>
      <c r="H47" s="184">
        <v>865686.28</v>
      </c>
      <c r="I47" s="167">
        <v>90</v>
      </c>
      <c r="J47" s="167">
        <f t="shared" si="59"/>
        <v>1654.8777777777777</v>
      </c>
      <c r="K47" s="167">
        <v>148939</v>
      </c>
      <c r="L47" s="184">
        <f t="shared" si="60"/>
        <v>10.367186499170803</v>
      </c>
      <c r="M47" s="184">
        <v>1544078.3900000001</v>
      </c>
      <c r="N47" s="167">
        <v>79</v>
      </c>
      <c r="O47" s="167">
        <f t="shared" si="65"/>
        <v>1554.8354430379748</v>
      </c>
      <c r="P47" s="167">
        <v>122832</v>
      </c>
      <c r="Q47" s="184">
        <f t="shared" si="66"/>
        <v>10.634712941253092</v>
      </c>
      <c r="R47" s="184">
        <v>1306283.0599999998</v>
      </c>
      <c r="S47" s="167">
        <v>56</v>
      </c>
      <c r="T47" s="167">
        <f t="shared" si="4"/>
        <v>1410.0714285714287</v>
      </c>
      <c r="U47" s="167">
        <v>78964</v>
      </c>
      <c r="V47" s="184">
        <f t="shared" si="67"/>
        <v>10.598131806899346</v>
      </c>
      <c r="W47" s="184">
        <v>836870.88</v>
      </c>
      <c r="X47" s="167">
        <v>15</v>
      </c>
      <c r="Y47" s="167">
        <f t="shared" si="5"/>
        <v>275.13333333333333</v>
      </c>
      <c r="Z47" s="167">
        <v>4127</v>
      </c>
      <c r="AA47" s="184">
        <f t="shared" si="6"/>
        <v>10.701228495275018</v>
      </c>
      <c r="AB47" s="184">
        <v>44163.97</v>
      </c>
      <c r="AC47" s="167">
        <v>9</v>
      </c>
      <c r="AD47" s="167">
        <f t="shared" si="7"/>
        <v>209.66666666666666</v>
      </c>
      <c r="AE47" s="167">
        <v>1887</v>
      </c>
      <c r="AF47" s="184">
        <f t="shared" si="8"/>
        <v>10.670339162692104</v>
      </c>
      <c r="AG47" s="184">
        <v>20134.93</v>
      </c>
      <c r="AH47" s="167">
        <f>7+2</f>
        <v>9</v>
      </c>
      <c r="AI47" s="167">
        <f t="shared" si="9"/>
        <v>148.44444444444446</v>
      </c>
      <c r="AJ47" s="167">
        <f>384+952</f>
        <v>1336</v>
      </c>
      <c r="AK47" s="184">
        <f t="shared" si="68"/>
        <v>10.393502994011977</v>
      </c>
      <c r="AL47" s="184">
        <f>4097.28+9788.44</f>
        <v>13885.720000000001</v>
      </c>
      <c r="AM47" s="167">
        <v>6</v>
      </c>
      <c r="AN47" s="167">
        <f t="shared" si="10"/>
        <v>224.66666666666666</v>
      </c>
      <c r="AO47" s="167">
        <v>1348</v>
      </c>
      <c r="AP47" s="184">
        <f t="shared" si="11"/>
        <v>9.7942729970326408</v>
      </c>
      <c r="AQ47" s="184">
        <v>13202.68</v>
      </c>
      <c r="AR47" s="167">
        <f>4+3</f>
        <v>7</v>
      </c>
      <c r="AS47" s="167">
        <f t="shared" si="12"/>
        <v>136.71428571428572</v>
      </c>
      <c r="AT47" s="167">
        <f>788+169</f>
        <v>957</v>
      </c>
      <c r="AU47" s="184">
        <f t="shared" si="13"/>
        <v>11.432142110762801</v>
      </c>
      <c r="AV47" s="184">
        <f>2004.34+8936.22</f>
        <v>10940.56</v>
      </c>
      <c r="AW47" s="167">
        <f>'Factor D Back Up'!D730</f>
        <v>7</v>
      </c>
      <c r="AX47" s="167">
        <f>'Factor D Back Up'!E730</f>
        <v>158.2116402116402</v>
      </c>
      <c r="AY47" s="167">
        <f>'Factor D Back Up'!F730</f>
        <v>1107.4814814814813</v>
      </c>
      <c r="AZ47" s="184">
        <f>'Factor D Back Up'!G730</f>
        <v>11.98</v>
      </c>
      <c r="BA47" s="184">
        <f>'Factor D Back Up'!H730</f>
        <v>13267.628148148146</v>
      </c>
      <c r="BB47" s="167">
        <f>'Factor D Back Up'!D731</f>
        <v>7</v>
      </c>
      <c r="BC47" s="167">
        <f>'Factor D Back Up'!E731</f>
        <v>152.34656084656086</v>
      </c>
      <c r="BD47" s="167">
        <f>'Factor D Back Up'!F731</f>
        <v>1066.4259259259261</v>
      </c>
      <c r="BE47" s="184">
        <f>'Factor D Back Up'!G731</f>
        <v>12.61</v>
      </c>
      <c r="BF47" s="184">
        <f>'Factor D Back Up'!H731</f>
        <v>13447.630925925927</v>
      </c>
      <c r="BG47" s="167">
        <f>'Factor D Back Up'!D732</f>
        <v>7</v>
      </c>
      <c r="BH47" s="167">
        <f>'Factor D Back Up'!E732</f>
        <v>146.48148148148147</v>
      </c>
      <c r="BI47" s="167">
        <f>'Factor D Back Up'!F732</f>
        <v>1025.3703703703702</v>
      </c>
      <c r="BJ47" s="184">
        <f>'Factor D Back Up'!G732</f>
        <v>12.937859999999999</v>
      </c>
      <c r="BK47" s="184">
        <f>'Factor D Back Up'!H732</f>
        <v>13266.098299999996</v>
      </c>
      <c r="BL47" s="167">
        <f>'Factor D Back Up'!D733</f>
        <v>7</v>
      </c>
      <c r="BM47" s="167">
        <f>'Factor D Back Up'!E733</f>
        <v>140.61640211640213</v>
      </c>
      <c r="BN47" s="167">
        <f>'Factor D Back Up'!F733</f>
        <v>984.31481481481489</v>
      </c>
      <c r="BO47" s="184">
        <f>'Factor D Back Up'!G733</f>
        <v>13.274244359999999</v>
      </c>
      <c r="BP47" s="184">
        <f>'Factor D Back Up'!H733</f>
        <v>13066.035379020001</v>
      </c>
      <c r="BQ47" s="167">
        <f>'Factor D Back Up'!D734</f>
        <v>7</v>
      </c>
      <c r="BR47" s="167">
        <f>'Factor D Back Up'!E734</f>
        <v>134.75132275132276</v>
      </c>
      <c r="BS47" s="167">
        <f>'Factor D Back Up'!F734</f>
        <v>943.25925925925935</v>
      </c>
      <c r="BT47" s="184">
        <f>'Factor D Back Up'!G734</f>
        <v>13.619374713359999</v>
      </c>
      <c r="BU47" s="184">
        <f>'Factor D Back Up'!H734</f>
        <v>12846.60130369824</v>
      </c>
      <c r="BV47" s="167">
        <f>'Factor D Back Up'!D735</f>
        <v>7</v>
      </c>
      <c r="BW47" s="167">
        <f>'Factor D Back Up'!E735</f>
        <v>128.88624338624339</v>
      </c>
      <c r="BX47" s="167">
        <f>'Factor D Back Up'!F735</f>
        <v>902.2037037037037</v>
      </c>
      <c r="BY47" s="184">
        <f>'Factor D Back Up'!G735</f>
        <v>13.97347845590736</v>
      </c>
      <c r="BZ47" s="184">
        <f>'Factor D Back Up'!H735</f>
        <v>12606.924016543531</v>
      </c>
      <c r="CA47" s="86"/>
      <c r="CB47" s="187">
        <f t="shared" si="14"/>
        <v>1017699.6580733359</v>
      </c>
      <c r="CC47" s="282">
        <f>+'linked - DO NOT USE or DELETE'!H47+'linked - DO NOT USE or DELETE'!M47+'linked - DO NOT USE or DELETE'!R47</f>
        <v>3716047.7299999995</v>
      </c>
      <c r="CD47" s="281">
        <f t="shared" si="15"/>
        <v>4733747.3880733354</v>
      </c>
      <c r="CE47" s="86"/>
      <c r="CF47" s="576">
        <f t="shared" si="16"/>
        <v>4733747.3880733335</v>
      </c>
      <c r="CG47" s="86"/>
      <c r="CH47" s="86"/>
      <c r="CI47" s="86"/>
    </row>
    <row r="48" spans="1:87" ht="15" customHeight="1" x14ac:dyDescent="0.25">
      <c r="A48" s="83" t="s">
        <v>355</v>
      </c>
      <c r="B48" s="165" t="s">
        <v>129</v>
      </c>
      <c r="C48" s="590" t="s">
        <v>152</v>
      </c>
      <c r="D48" s="167">
        <v>17</v>
      </c>
      <c r="E48" s="167">
        <f t="shared" si="63"/>
        <v>1578.1176470588234</v>
      </c>
      <c r="F48" s="167">
        <v>26828</v>
      </c>
      <c r="G48" s="184">
        <f t="shared" si="64"/>
        <v>6.3265647830624712</v>
      </c>
      <c r="H48" s="184">
        <v>169729.08</v>
      </c>
      <c r="I48" s="167">
        <v>10</v>
      </c>
      <c r="J48" s="167">
        <f t="shared" si="59"/>
        <v>2064.1</v>
      </c>
      <c r="K48" s="167">
        <v>20641</v>
      </c>
      <c r="L48" s="184">
        <f t="shared" si="60"/>
        <v>6.3155026403759509</v>
      </c>
      <c r="M48" s="184">
        <v>130358.29000000001</v>
      </c>
      <c r="N48" s="167">
        <v>5</v>
      </c>
      <c r="O48" s="167">
        <f t="shared" si="65"/>
        <v>2730</v>
      </c>
      <c r="P48" s="167">
        <v>13650</v>
      </c>
      <c r="Q48" s="184">
        <f t="shared" si="66"/>
        <v>6.3285816849816845</v>
      </c>
      <c r="R48" s="184">
        <v>86385.14</v>
      </c>
      <c r="S48" s="167">
        <v>7</v>
      </c>
      <c r="T48" s="167">
        <f t="shared" si="4"/>
        <v>1218.2857142857142</v>
      </c>
      <c r="U48" s="167">
        <v>8528</v>
      </c>
      <c r="V48" s="184">
        <f t="shared" si="67"/>
        <v>6.2811421200750468</v>
      </c>
      <c r="W48" s="184">
        <v>53565.58</v>
      </c>
      <c r="X48" s="167">
        <v>5</v>
      </c>
      <c r="Y48" s="167">
        <f t="shared" si="5"/>
        <v>416</v>
      </c>
      <c r="Z48" s="167">
        <v>2080</v>
      </c>
      <c r="AA48" s="184">
        <f t="shared" si="6"/>
        <v>6.3234615384615385</v>
      </c>
      <c r="AB48" s="184">
        <v>13152.8</v>
      </c>
      <c r="AC48" s="167">
        <v>1</v>
      </c>
      <c r="AD48" s="167">
        <f t="shared" si="7"/>
        <v>112</v>
      </c>
      <c r="AE48" s="167">
        <v>112</v>
      </c>
      <c r="AF48" s="184">
        <f t="shared" si="8"/>
        <v>6.33</v>
      </c>
      <c r="AG48" s="184">
        <v>708.96</v>
      </c>
      <c r="AH48" s="167">
        <f>3+1</f>
        <v>4</v>
      </c>
      <c r="AI48" s="167">
        <f t="shared" si="9"/>
        <v>243</v>
      </c>
      <c r="AJ48" s="167">
        <f>652+320</f>
        <v>972</v>
      </c>
      <c r="AK48" s="184">
        <f t="shared" si="68"/>
        <v>6.33</v>
      </c>
      <c r="AL48" s="184">
        <f>4127.16+2025.6</f>
        <v>6152.76</v>
      </c>
      <c r="AM48" s="167">
        <v>4</v>
      </c>
      <c r="AN48" s="167">
        <f t="shared" si="10"/>
        <v>225</v>
      </c>
      <c r="AO48" s="167">
        <v>900</v>
      </c>
      <c r="AP48" s="184">
        <f t="shared" si="11"/>
        <v>6.33</v>
      </c>
      <c r="AQ48" s="184">
        <v>5697</v>
      </c>
      <c r="AR48" s="167">
        <f>1+2</f>
        <v>3</v>
      </c>
      <c r="AS48" s="167">
        <f t="shared" si="12"/>
        <v>124.33333333333333</v>
      </c>
      <c r="AT48" s="167">
        <f>85+288</f>
        <v>373</v>
      </c>
      <c r="AU48" s="184">
        <f t="shared" si="13"/>
        <v>6.381876675603217</v>
      </c>
      <c r="AV48" s="184">
        <f>557.4+1823.04</f>
        <v>2380.44</v>
      </c>
      <c r="AW48" s="167">
        <f>'Factor D Back Up'!D748</f>
        <v>4</v>
      </c>
      <c r="AX48" s="167">
        <f>'Factor D Back Up'!E748</f>
        <v>80</v>
      </c>
      <c r="AY48" s="167">
        <f>'Factor D Back Up'!F748</f>
        <v>320</v>
      </c>
      <c r="AZ48" s="184">
        <f>'Factor D Back Up'!G748</f>
        <v>7.21</v>
      </c>
      <c r="BA48" s="184">
        <f>'Factor D Back Up'!H748</f>
        <v>2307.1999999999998</v>
      </c>
      <c r="BB48" s="167">
        <f>'Factor D Back Up'!D749</f>
        <v>4</v>
      </c>
      <c r="BC48" s="167">
        <f>'Factor D Back Up'!E749</f>
        <v>80</v>
      </c>
      <c r="BD48" s="167">
        <f>'Factor D Back Up'!F749</f>
        <v>320</v>
      </c>
      <c r="BE48" s="184">
        <f>'Factor D Back Up'!G749</f>
        <v>6.92</v>
      </c>
      <c r="BF48" s="184">
        <f>'Factor D Back Up'!H749</f>
        <v>2214.4</v>
      </c>
      <c r="BG48" s="167">
        <f>'Factor D Back Up'!D750</f>
        <v>4</v>
      </c>
      <c r="BH48" s="167">
        <f>'Factor D Back Up'!E750</f>
        <v>80</v>
      </c>
      <c r="BI48" s="167">
        <f>'Factor D Back Up'!F750</f>
        <v>320</v>
      </c>
      <c r="BJ48" s="184">
        <f>'Factor D Back Up'!G750</f>
        <v>7.09992</v>
      </c>
      <c r="BK48" s="184">
        <f>'Factor D Back Up'!H750</f>
        <v>2271.9744000000001</v>
      </c>
      <c r="BL48" s="167">
        <f>'Factor D Back Up'!D751</f>
        <v>4</v>
      </c>
      <c r="BM48" s="167">
        <f>'Factor D Back Up'!E751</f>
        <v>80</v>
      </c>
      <c r="BN48" s="167">
        <f>'Factor D Back Up'!F751</f>
        <v>320</v>
      </c>
      <c r="BO48" s="184">
        <f>'Factor D Back Up'!G751</f>
        <v>7.2845179199999999</v>
      </c>
      <c r="BP48" s="184">
        <f>'Factor D Back Up'!H751</f>
        <v>2331.0457344000001</v>
      </c>
      <c r="BQ48" s="167">
        <f>'Factor D Back Up'!D752</f>
        <v>4</v>
      </c>
      <c r="BR48" s="167">
        <f>'Factor D Back Up'!E752</f>
        <v>80</v>
      </c>
      <c r="BS48" s="167">
        <f>'Factor D Back Up'!F752</f>
        <v>320</v>
      </c>
      <c r="BT48" s="184">
        <f>'Factor D Back Up'!G752</f>
        <v>7.4739153859199998</v>
      </c>
      <c r="BU48" s="184">
        <f>'Factor D Back Up'!H752</f>
        <v>2391.6529234944001</v>
      </c>
      <c r="BV48" s="167">
        <f>'Factor D Back Up'!D753</f>
        <v>4</v>
      </c>
      <c r="BW48" s="167">
        <f>'Factor D Back Up'!E753</f>
        <v>80</v>
      </c>
      <c r="BX48" s="167">
        <f>'Factor D Back Up'!F753</f>
        <v>320</v>
      </c>
      <c r="BY48" s="184">
        <f>'Factor D Back Up'!G753</f>
        <v>7.6682371859539202</v>
      </c>
      <c r="BZ48" s="184">
        <f>'Factor D Back Up'!H753</f>
        <v>2453.8358995052545</v>
      </c>
      <c r="CA48" s="86"/>
      <c r="CB48" s="187">
        <f t="shared" si="14"/>
        <v>95627.648957399651</v>
      </c>
      <c r="CC48" s="282">
        <f>+'linked - DO NOT USE or DELETE'!H48+'linked - DO NOT USE or DELETE'!M48+'linked - DO NOT USE or DELETE'!R48</f>
        <v>386472.51</v>
      </c>
      <c r="CD48" s="281">
        <f t="shared" si="15"/>
        <v>482100.15895739966</v>
      </c>
      <c r="CE48" s="86"/>
      <c r="CF48" s="576">
        <f t="shared" si="16"/>
        <v>482100.15895739972</v>
      </c>
      <c r="CG48" s="86"/>
      <c r="CH48" s="86"/>
      <c r="CI48" s="86"/>
    </row>
    <row r="49" spans="1:87" ht="15" customHeight="1" x14ac:dyDescent="0.25">
      <c r="A49" s="83" t="s">
        <v>356</v>
      </c>
      <c r="B49" s="165" t="s">
        <v>184</v>
      </c>
      <c r="C49" s="590" t="s">
        <v>152</v>
      </c>
      <c r="D49" s="167">
        <v>36</v>
      </c>
      <c r="E49" s="167">
        <f t="shared" si="63"/>
        <v>1321.1944444444443</v>
      </c>
      <c r="F49" s="167">
        <v>47563</v>
      </c>
      <c r="G49" s="184">
        <f t="shared" si="64"/>
        <v>10.719000693816623</v>
      </c>
      <c r="H49" s="184">
        <v>509827.83</v>
      </c>
      <c r="I49" s="167">
        <v>75</v>
      </c>
      <c r="J49" s="167">
        <f t="shared" si="59"/>
        <v>2013.72</v>
      </c>
      <c r="K49" s="167">
        <v>151029</v>
      </c>
      <c r="L49" s="184">
        <f t="shared" si="60"/>
        <v>10.678877632772513</v>
      </c>
      <c r="M49" s="184">
        <v>1612820.21</v>
      </c>
      <c r="N49" s="167">
        <v>73</v>
      </c>
      <c r="O49" s="167">
        <f t="shared" si="65"/>
        <v>2421.8904109589039</v>
      </c>
      <c r="P49" s="167">
        <v>176798</v>
      </c>
      <c r="Q49" s="184">
        <f t="shared" si="66"/>
        <v>10.623871254199708</v>
      </c>
      <c r="R49" s="184">
        <v>1878279.19</v>
      </c>
      <c r="S49" s="167">
        <v>65</v>
      </c>
      <c r="T49" s="167">
        <f t="shared" si="4"/>
        <v>1141.5846153846153</v>
      </c>
      <c r="U49" s="167">
        <v>74203</v>
      </c>
      <c r="V49" s="184">
        <f t="shared" si="67"/>
        <v>10.696829238710025</v>
      </c>
      <c r="W49" s="184">
        <v>793736.82</v>
      </c>
      <c r="X49" s="167">
        <v>39</v>
      </c>
      <c r="Y49" s="167">
        <f t="shared" si="5"/>
        <v>352.41025641025641</v>
      </c>
      <c r="Z49" s="167">
        <v>13744</v>
      </c>
      <c r="AA49" s="184">
        <f t="shared" si="6"/>
        <v>10.499531431897555</v>
      </c>
      <c r="AB49" s="184">
        <v>144305.56</v>
      </c>
      <c r="AC49" s="167">
        <f>1+11</f>
        <v>12</v>
      </c>
      <c r="AD49" s="167">
        <f t="shared" si="7"/>
        <v>384.33333333333331</v>
      </c>
      <c r="AE49" s="167">
        <f>4436+176</f>
        <v>4612</v>
      </c>
      <c r="AF49" s="184">
        <f t="shared" si="8"/>
        <v>9.6992541196877706</v>
      </c>
      <c r="AG49" s="184">
        <f>42855.04+1877.92</f>
        <v>44732.959999999999</v>
      </c>
      <c r="AH49" s="167">
        <f>10+2+21</f>
        <v>33</v>
      </c>
      <c r="AI49" s="167">
        <f t="shared" si="9"/>
        <v>368.87878787878788</v>
      </c>
      <c r="AJ49" s="167">
        <f>360+2866+8947</f>
        <v>12173</v>
      </c>
      <c r="AK49" s="184">
        <f t="shared" si="68"/>
        <v>10.632564692351925</v>
      </c>
      <c r="AL49" s="184">
        <f>3841.2+30580.22+95008.79</f>
        <v>129430.20999999999</v>
      </c>
      <c r="AM49" s="167">
        <f>18+4</f>
        <v>22</v>
      </c>
      <c r="AN49" s="167">
        <f t="shared" si="10"/>
        <v>464.86363636363637</v>
      </c>
      <c r="AO49" s="167">
        <f>1220+9007</f>
        <v>10227</v>
      </c>
      <c r="AP49" s="184">
        <f t="shared" si="11"/>
        <v>10.331327857631758</v>
      </c>
      <c r="AQ49" s="184">
        <f>92529.23+13129.26</f>
        <v>105658.48999999999</v>
      </c>
      <c r="AR49" s="167">
        <f>31+10+7+1</f>
        <v>49</v>
      </c>
      <c r="AS49" s="167">
        <f t="shared" si="12"/>
        <v>616.16326530612241</v>
      </c>
      <c r="AT49" s="167">
        <f>13727+11666+3287+1512</f>
        <v>30192</v>
      </c>
      <c r="AU49" s="184">
        <f t="shared" si="13"/>
        <v>11.167774576046636</v>
      </c>
      <c r="AV49" s="184">
        <f>138119.62+154367.74+33798.52+10891.57</f>
        <v>337177.45</v>
      </c>
      <c r="AW49" s="167">
        <f>'Factor D Back Up'!D766</f>
        <v>49</v>
      </c>
      <c r="AX49" s="167">
        <f>'Factor D Back Up'!E766</f>
        <v>656.42841682127391</v>
      </c>
      <c r="AY49" s="167">
        <f>'Factor D Back Up'!F766</f>
        <v>32164.99242424242</v>
      </c>
      <c r="AZ49" s="184">
        <f>'Factor D Back Up'!G766</f>
        <v>11.98</v>
      </c>
      <c r="BA49" s="184">
        <f>'Factor D Back Up'!H766</f>
        <v>385336.60924242419</v>
      </c>
      <c r="BB49" s="167">
        <f>'Factor D Back Up'!D767</f>
        <v>93</v>
      </c>
      <c r="BC49" s="167">
        <f>'Factor D Back Up'!E767</f>
        <v>735.57588126159544</v>
      </c>
      <c r="BD49" s="167">
        <f>'Factor D Back Up'!F767</f>
        <v>68408.556957328372</v>
      </c>
      <c r="BE49" s="184">
        <f>'Factor D Back Up'!G767</f>
        <v>12.61</v>
      </c>
      <c r="BF49" s="184">
        <f>'Factor D Back Up'!H767</f>
        <v>862631.90323191078</v>
      </c>
      <c r="BG49" s="167">
        <f>'Factor D Back Up'!D768</f>
        <v>134</v>
      </c>
      <c r="BH49" s="167">
        <f>'Factor D Back Up'!E768</f>
        <v>814.72334570191697</v>
      </c>
      <c r="BI49" s="167">
        <f>'Factor D Back Up'!F768</f>
        <v>109172.92832405688</v>
      </c>
      <c r="BJ49" s="184">
        <f>'Factor D Back Up'!G768</f>
        <v>12.937859999999999</v>
      </c>
      <c r="BK49" s="184">
        <f>'Factor D Back Up'!H768</f>
        <v>1412464.0624466825</v>
      </c>
      <c r="BL49" s="167">
        <f>'Factor D Back Up'!D769</f>
        <v>156</v>
      </c>
      <c r="BM49" s="167">
        <f>'Factor D Back Up'!E769</f>
        <v>893.8708101422385</v>
      </c>
      <c r="BN49" s="167">
        <f>'Factor D Back Up'!F769</f>
        <v>139443.84638218919</v>
      </c>
      <c r="BO49" s="184">
        <f>'Factor D Back Up'!G769</f>
        <v>13.274244359999999</v>
      </c>
      <c r="BP49" s="184">
        <f>'Factor D Back Up'!H769</f>
        <v>1851011.6913754812</v>
      </c>
      <c r="BQ49" s="167">
        <f>'Factor D Back Up'!D770</f>
        <v>170</v>
      </c>
      <c r="BR49" s="167">
        <f>'Factor D Back Up'!E770</f>
        <v>973.01827458256025</v>
      </c>
      <c r="BS49" s="167">
        <f>'Factor D Back Up'!F770</f>
        <v>165413.10667903523</v>
      </c>
      <c r="BT49" s="184">
        <f>'Factor D Back Up'!G770</f>
        <v>13.619374713359999</v>
      </c>
      <c r="BU49" s="184">
        <f>'Factor D Back Up'!H770</f>
        <v>2252823.0823627724</v>
      </c>
      <c r="BV49" s="167">
        <f>'Factor D Back Up'!D771</f>
        <v>183</v>
      </c>
      <c r="BW49" s="167">
        <f>'Factor D Back Up'!E771</f>
        <v>1052.1657390228818</v>
      </c>
      <c r="BX49" s="167">
        <f>'Factor D Back Up'!F771</f>
        <v>192546.33024118736</v>
      </c>
      <c r="BY49" s="184">
        <f>'Factor D Back Up'!G771</f>
        <v>13.97347845590736</v>
      </c>
      <c r="BZ49" s="184">
        <f>'Factor D Back Up'!H771</f>
        <v>2690541.9973892556</v>
      </c>
      <c r="CA49" s="86"/>
      <c r="CB49" s="187">
        <f t="shared" si="14"/>
        <v>11009850.836048529</v>
      </c>
      <c r="CC49" s="282">
        <f>+'linked - DO NOT USE or DELETE'!H49+'linked - DO NOT USE or DELETE'!M49+'linked - DO NOT USE or DELETE'!R49</f>
        <v>4000927.23</v>
      </c>
      <c r="CD49" s="281">
        <f t="shared" si="15"/>
        <v>15010778.066048529</v>
      </c>
      <c r="CE49" s="86"/>
      <c r="CF49" s="576">
        <f t="shared" si="16"/>
        <v>15010778.066048527</v>
      </c>
      <c r="CG49" s="86"/>
      <c r="CH49" s="86"/>
      <c r="CI49" s="86"/>
    </row>
    <row r="50" spans="1:87" ht="15" customHeight="1" x14ac:dyDescent="0.25">
      <c r="A50" s="83" t="s">
        <v>357</v>
      </c>
      <c r="B50" s="165" t="s">
        <v>184</v>
      </c>
      <c r="C50" s="590" t="s">
        <v>152</v>
      </c>
      <c r="D50" s="167">
        <v>103</v>
      </c>
      <c r="E50" s="167">
        <f t="shared" si="63"/>
        <v>1401.6504854368932</v>
      </c>
      <c r="F50" s="167">
        <v>144370</v>
      </c>
      <c r="G50" s="184">
        <f t="shared" si="64"/>
        <v>6.2958421417191932</v>
      </c>
      <c r="H50" s="184">
        <v>908930.73</v>
      </c>
      <c r="I50" s="167">
        <v>88</v>
      </c>
      <c r="J50" s="167">
        <f t="shared" si="59"/>
        <v>1694.5454545454545</v>
      </c>
      <c r="K50" s="167">
        <v>149120</v>
      </c>
      <c r="L50" s="184">
        <f t="shared" si="60"/>
        <v>6.2715342677038617</v>
      </c>
      <c r="M50" s="184">
        <v>935211.18999999983</v>
      </c>
      <c r="N50" s="167">
        <v>76</v>
      </c>
      <c r="O50" s="167">
        <f t="shared" si="65"/>
        <v>1948.4342105263158</v>
      </c>
      <c r="P50" s="167">
        <v>148081</v>
      </c>
      <c r="Q50" s="184">
        <f t="shared" si="66"/>
        <v>6.3156047028315596</v>
      </c>
      <c r="R50" s="184">
        <v>935221.06000000017</v>
      </c>
      <c r="S50" s="167">
        <v>77</v>
      </c>
      <c r="T50" s="167">
        <f t="shared" si="4"/>
        <v>1216.4675324675325</v>
      </c>
      <c r="U50" s="167">
        <v>93668</v>
      </c>
      <c r="V50" s="184">
        <f t="shared" si="67"/>
        <v>6.2860305547252002</v>
      </c>
      <c r="W50" s="184">
        <v>588799.91</v>
      </c>
      <c r="X50" s="167">
        <v>49</v>
      </c>
      <c r="Y50" s="167">
        <f t="shared" si="5"/>
        <v>282.47510204081635</v>
      </c>
      <c r="Z50" s="167">
        <v>13841.28</v>
      </c>
      <c r="AA50" s="184">
        <f t="shared" si="6"/>
        <v>6.3043511871734399</v>
      </c>
      <c r="AB50" s="184">
        <v>87260.29</v>
      </c>
      <c r="AC50" s="167">
        <v>33</v>
      </c>
      <c r="AD50" s="167">
        <f t="shared" si="7"/>
        <v>215.57575757575756</v>
      </c>
      <c r="AE50" s="167">
        <v>7114</v>
      </c>
      <c r="AF50" s="184">
        <f t="shared" si="8"/>
        <v>6.3289879111610903</v>
      </c>
      <c r="AG50" s="184">
        <v>45024.42</v>
      </c>
      <c r="AH50" s="167">
        <v>0</v>
      </c>
      <c r="AI50" s="167" t="e">
        <f t="shared" si="9"/>
        <v>#DIV/0!</v>
      </c>
      <c r="AJ50" s="167">
        <v>0</v>
      </c>
      <c r="AK50" s="184" t="e">
        <f t="shared" si="68"/>
        <v>#DIV/0!</v>
      </c>
      <c r="AL50" s="184">
        <v>0</v>
      </c>
      <c r="AM50" s="167">
        <v>7</v>
      </c>
      <c r="AN50" s="167">
        <f t="shared" si="10"/>
        <v>235.14285714285714</v>
      </c>
      <c r="AO50" s="167">
        <v>1646</v>
      </c>
      <c r="AP50" s="184">
        <f t="shared" si="11"/>
        <v>6.3792102065613614</v>
      </c>
      <c r="AQ50" s="184">
        <v>10500.18</v>
      </c>
      <c r="AR50" s="167">
        <f>14+2</f>
        <v>16</v>
      </c>
      <c r="AS50" s="167">
        <f t="shared" si="12"/>
        <v>506</v>
      </c>
      <c r="AT50" s="167">
        <f>8053+43</f>
        <v>8096</v>
      </c>
      <c r="AU50" s="184">
        <f t="shared" si="13"/>
        <v>6.8895454545454538</v>
      </c>
      <c r="AV50" s="184">
        <f>307.02+55470.74</f>
        <v>55777.759999999995</v>
      </c>
      <c r="AW50" s="167">
        <f>'Factor D Back Up'!D784</f>
        <v>18</v>
      </c>
      <c r="AX50" s="167">
        <f>'Factor D Back Up'!E784</f>
        <v>387.82381199752626</v>
      </c>
      <c r="AY50" s="167">
        <f>'Factor D Back Up'!F784</f>
        <v>6980.8286159554727</v>
      </c>
      <c r="AZ50" s="184">
        <f>'Factor D Back Up'!G784</f>
        <v>7.21</v>
      </c>
      <c r="BA50" s="184">
        <f>'Factor D Back Up'!H784</f>
        <v>50331.77432103896</v>
      </c>
      <c r="BB50" s="167">
        <f>'Factor D Back Up'!D785</f>
        <v>56</v>
      </c>
      <c r="BC50" s="167">
        <f>'Factor D Back Up'!E785</f>
        <v>434.4855015460729</v>
      </c>
      <c r="BD50" s="167">
        <f>'Factor D Back Up'!F785</f>
        <v>24331.188086580081</v>
      </c>
      <c r="BE50" s="184">
        <f>'Factor D Back Up'!G785</f>
        <v>6.92</v>
      </c>
      <c r="BF50" s="184">
        <f>'Factor D Back Up'!H785</f>
        <v>168371.82155913417</v>
      </c>
      <c r="BG50" s="167">
        <f>'Factor D Back Up'!D786</f>
        <v>93</v>
      </c>
      <c r="BH50" s="167">
        <f>'Factor D Back Up'!E786</f>
        <v>481.14719109461953</v>
      </c>
      <c r="BI50" s="167">
        <f>'Factor D Back Up'!F786</f>
        <v>44746.688771799614</v>
      </c>
      <c r="BJ50" s="184">
        <f>'Factor D Back Up'!G786</f>
        <v>7.09992</v>
      </c>
      <c r="BK50" s="184">
        <f>'Factor D Back Up'!H786</f>
        <v>317697.91054467554</v>
      </c>
      <c r="BL50" s="167">
        <f>'Factor D Back Up'!D787</f>
        <v>112</v>
      </c>
      <c r="BM50" s="167">
        <f>'Factor D Back Up'!E787</f>
        <v>527.80888064316628</v>
      </c>
      <c r="BN50" s="167">
        <f>'Factor D Back Up'!F787</f>
        <v>59114.594632034627</v>
      </c>
      <c r="BO50" s="184">
        <f>'Factor D Back Up'!G787</f>
        <v>7.2845179199999999</v>
      </c>
      <c r="BP50" s="184">
        <f>'Factor D Back Up'!H787</f>
        <v>430621.32393059204</v>
      </c>
      <c r="BQ50" s="167">
        <f>'Factor D Back Up'!D788</f>
        <v>123</v>
      </c>
      <c r="BR50" s="167">
        <f>'Factor D Back Up'!E788</f>
        <v>574.47057019171291</v>
      </c>
      <c r="BS50" s="167">
        <f>'Factor D Back Up'!F788</f>
        <v>70659.880133580693</v>
      </c>
      <c r="BT50" s="184">
        <f>'Factor D Back Up'!G788</f>
        <v>7.4739153859199998</v>
      </c>
      <c r="BU50" s="184">
        <f>'Factor D Back Up'!H788</f>
        <v>528105.96529763169</v>
      </c>
      <c r="BV50" s="167">
        <f>'Factor D Back Up'!D789</f>
        <v>134</v>
      </c>
      <c r="BW50" s="167">
        <f>'Factor D Back Up'!E789</f>
        <v>621.13225974025966</v>
      </c>
      <c r="BX50" s="167">
        <f>'Factor D Back Up'!F789</f>
        <v>83231.72280519479</v>
      </c>
      <c r="BY50" s="184">
        <f>'Factor D Back Up'!G789</f>
        <v>7.6682371859539202</v>
      </c>
      <c r="BZ50" s="184">
        <f>'Factor D Back Up'!H789</f>
        <v>638240.59186580358</v>
      </c>
      <c r="CA50" s="86"/>
      <c r="CB50" s="187">
        <f t="shared" si="14"/>
        <v>2920731.9475188758</v>
      </c>
      <c r="CC50" s="282">
        <f>+'linked - DO NOT USE or DELETE'!H50+'linked - DO NOT USE or DELETE'!M50+'linked - DO NOT USE or DELETE'!R50</f>
        <v>2779362.98</v>
      </c>
      <c r="CD50" s="281">
        <f t="shared" si="15"/>
        <v>5700094.9275188763</v>
      </c>
      <c r="CE50" s="86"/>
      <c r="CF50" s="576">
        <f t="shared" si="16"/>
        <v>5700094.9275188763</v>
      </c>
      <c r="CG50" s="86"/>
      <c r="CH50" s="86"/>
      <c r="CI50" s="86"/>
    </row>
    <row r="51" spans="1:87" ht="15" customHeight="1" x14ac:dyDescent="0.25">
      <c r="A51" s="83" t="s">
        <v>358</v>
      </c>
      <c r="B51" s="165" t="s">
        <v>184</v>
      </c>
      <c r="C51" s="590" t="s">
        <v>152</v>
      </c>
      <c r="D51" s="167">
        <v>63</v>
      </c>
      <c r="E51" s="167">
        <f t="shared" si="63"/>
        <v>1915.2063492063492</v>
      </c>
      <c r="F51" s="167">
        <v>120658</v>
      </c>
      <c r="G51" s="184">
        <f t="shared" si="64"/>
        <v>10.416051898755159</v>
      </c>
      <c r="H51" s="184">
        <v>1256779.99</v>
      </c>
      <c r="I51" s="167">
        <v>85</v>
      </c>
      <c r="J51" s="167">
        <f t="shared" si="59"/>
        <v>2240.1058823529411</v>
      </c>
      <c r="K51" s="167">
        <v>190409</v>
      </c>
      <c r="L51" s="184">
        <f t="shared" si="60"/>
        <v>10.218882143176005</v>
      </c>
      <c r="M51" s="184">
        <v>1945767.13</v>
      </c>
      <c r="N51" s="167">
        <v>103</v>
      </c>
      <c r="O51" s="167">
        <f t="shared" si="65"/>
        <v>2743.6699029126212</v>
      </c>
      <c r="P51" s="167">
        <v>282598</v>
      </c>
      <c r="Q51" s="184">
        <f t="shared" si="66"/>
        <v>10.695692255429973</v>
      </c>
      <c r="R51" s="184">
        <v>3022581.2399999998</v>
      </c>
      <c r="S51" s="167">
        <v>144</v>
      </c>
      <c r="T51" s="167">
        <f t="shared" si="4"/>
        <v>1768.7152777777778</v>
      </c>
      <c r="U51" s="167">
        <v>254695</v>
      </c>
      <c r="V51" s="184">
        <f t="shared" si="67"/>
        <v>10.607770431300182</v>
      </c>
      <c r="W51" s="184">
        <v>2701746.09</v>
      </c>
      <c r="X51" s="167">
        <v>98</v>
      </c>
      <c r="Y51" s="167">
        <f t="shared" si="5"/>
        <v>869.70408163265301</v>
      </c>
      <c r="Z51" s="167">
        <v>85231</v>
      </c>
      <c r="AA51" s="184">
        <f t="shared" si="6"/>
        <v>10.658872358648848</v>
      </c>
      <c r="AB51" s="184">
        <v>908466.35</v>
      </c>
      <c r="AC51" s="167">
        <f>2+67</f>
        <v>69</v>
      </c>
      <c r="AD51" s="167">
        <f t="shared" si="7"/>
        <v>703.97101449275362</v>
      </c>
      <c r="AE51" s="167">
        <f>48125+449</f>
        <v>48574</v>
      </c>
      <c r="AF51" s="184">
        <f t="shared" si="8"/>
        <v>10.369691192819204</v>
      </c>
      <c r="AG51" s="184">
        <f>4826.75+498870.63</f>
        <v>503697.38</v>
      </c>
      <c r="AH51" s="167">
        <f>1+46+2</f>
        <v>49</v>
      </c>
      <c r="AI51" s="167">
        <f t="shared" si="9"/>
        <v>1100.6734693877552</v>
      </c>
      <c r="AJ51" s="167">
        <f>1152+168+52613</f>
        <v>53933</v>
      </c>
      <c r="AK51" s="184">
        <f t="shared" si="68"/>
        <v>10.680415144716594</v>
      </c>
      <c r="AL51" s="184">
        <f>12291.84+1792.56+561942.43</f>
        <v>576026.83000000007</v>
      </c>
      <c r="AM51" s="167">
        <f>50+1+3</f>
        <v>54</v>
      </c>
      <c r="AN51" s="167">
        <f t="shared" si="10"/>
        <v>1511.5555555555557</v>
      </c>
      <c r="AO51" s="167">
        <f>105+79791+1728</f>
        <v>81624</v>
      </c>
      <c r="AP51" s="184">
        <f t="shared" si="11"/>
        <v>10.692096932274822</v>
      </c>
      <c r="AQ51" s="184">
        <f>18437.76+853048.66+1245.3</f>
        <v>872731.72000000009</v>
      </c>
      <c r="AR51" s="167">
        <f>34+27</f>
        <v>61</v>
      </c>
      <c r="AS51" s="167">
        <f t="shared" si="12"/>
        <v>931.81967213114751</v>
      </c>
      <c r="AT51" s="167">
        <f>34570+22271</f>
        <v>56841</v>
      </c>
      <c r="AU51" s="184">
        <f t="shared" si="13"/>
        <v>11.319645854224943</v>
      </c>
      <c r="AV51" s="184">
        <f>390475.23+252944.76</f>
        <v>643419.99</v>
      </c>
      <c r="AW51" s="167">
        <f>'Factor D Back Up'!D802</f>
        <v>71</v>
      </c>
      <c r="AX51" s="167">
        <f>'Factor D Back Up'!E802</f>
        <v>1303.0894752579102</v>
      </c>
      <c r="AY51" s="167">
        <f>'Factor D Back Up'!F802</f>
        <v>92519.352743311625</v>
      </c>
      <c r="AZ51" s="184">
        <f>'Factor D Back Up'!G802</f>
        <v>11.98</v>
      </c>
      <c r="BA51" s="184">
        <f>'Factor D Back Up'!H802</f>
        <v>1108381.8458648734</v>
      </c>
      <c r="BB51" s="167">
        <f>'Factor D Back Up'!D803</f>
        <v>68</v>
      </c>
      <c r="BC51" s="167">
        <f>'Factor D Back Up'!E803</f>
        <v>1396.2710474638893</v>
      </c>
      <c r="BD51" s="167">
        <f>'Factor D Back Up'!F803</f>
        <v>94946.431227544468</v>
      </c>
      <c r="BE51" s="184">
        <f>'Factor D Back Up'!G803</f>
        <v>12.61</v>
      </c>
      <c r="BF51" s="184">
        <f>'Factor D Back Up'!H803</f>
        <v>1197274.4977793356</v>
      </c>
      <c r="BG51" s="167">
        <f>'Factor D Back Up'!D804</f>
        <v>47</v>
      </c>
      <c r="BH51" s="167">
        <f>'Factor D Back Up'!E804</f>
        <v>1489.4526196698685</v>
      </c>
      <c r="BI51" s="167">
        <f>'Factor D Back Up'!F804</f>
        <v>70004.273124483821</v>
      </c>
      <c r="BJ51" s="184">
        <f>'Factor D Back Up'!G804</f>
        <v>12.937859999999999</v>
      </c>
      <c r="BK51" s="184">
        <f>'Factor D Back Up'!H804</f>
        <v>905705.48508633417</v>
      </c>
      <c r="BL51" s="167">
        <f>'Factor D Back Up'!D805</f>
        <v>17</v>
      </c>
      <c r="BM51" s="167">
        <f>'Factor D Back Up'!E805</f>
        <v>1582.6341918758476</v>
      </c>
      <c r="BN51" s="167">
        <f>'Factor D Back Up'!F805</f>
        <v>26904.78126188941</v>
      </c>
      <c r="BO51" s="184">
        <f>'Factor D Back Up'!G805</f>
        <v>13.274244359999999</v>
      </c>
      <c r="BP51" s="184">
        <f>'Factor D Back Up'!H805</f>
        <v>357140.64092266915</v>
      </c>
      <c r="BQ51" s="167">
        <f>'Factor D Back Up'!D806</f>
        <v>7</v>
      </c>
      <c r="BR51" s="167">
        <f>'Factor D Back Up'!E806</f>
        <v>1675.8157640818265</v>
      </c>
      <c r="BS51" s="167">
        <f>'Factor D Back Up'!F806</f>
        <v>11730.710348572786</v>
      </c>
      <c r="BT51" s="184">
        <f>'Factor D Back Up'!G806</f>
        <v>13.619374713359999</v>
      </c>
      <c r="BU51" s="184">
        <f>'Factor D Back Up'!H806</f>
        <v>159764.93989110267</v>
      </c>
      <c r="BV51" s="167">
        <f>'Factor D Back Up'!D807</f>
        <v>29</v>
      </c>
      <c r="BW51" s="167">
        <f>'Factor D Back Up'!E807</f>
        <v>1768.9973362878056</v>
      </c>
      <c r="BX51" s="167">
        <f>'Factor D Back Up'!F807</f>
        <v>51300.922752346363</v>
      </c>
      <c r="BY51" s="184">
        <f>'Factor D Back Up'!G807</f>
        <v>13.97347845590736</v>
      </c>
      <c r="BZ51" s="184">
        <f>'Factor D Back Up'!H807</f>
        <v>716852.33884807955</v>
      </c>
      <c r="CA51" s="86"/>
      <c r="CB51" s="187">
        <f t="shared" si="14"/>
        <v>10651208.108392395</v>
      </c>
      <c r="CC51" s="282">
        <f>+'linked - DO NOT USE or DELETE'!H51+'linked - DO NOT USE or DELETE'!M51+'linked - DO NOT USE or DELETE'!R51</f>
        <v>6225128.3599999994</v>
      </c>
      <c r="CD51" s="281">
        <f t="shared" si="15"/>
        <v>16876336.468392394</v>
      </c>
      <c r="CE51" s="86"/>
      <c r="CF51" s="576">
        <f t="shared" si="16"/>
        <v>16876336.468392394</v>
      </c>
      <c r="CG51" s="86"/>
      <c r="CH51" s="86"/>
      <c r="CI51" s="86"/>
    </row>
    <row r="52" spans="1:87" ht="15" customHeight="1" x14ac:dyDescent="0.25">
      <c r="A52" s="83" t="s">
        <v>359</v>
      </c>
      <c r="B52" s="165" t="s">
        <v>184</v>
      </c>
      <c r="C52" s="590" t="s">
        <v>152</v>
      </c>
      <c r="D52" s="167">
        <v>128</v>
      </c>
      <c r="E52" s="167">
        <f t="shared" si="63"/>
        <v>2000</v>
      </c>
      <c r="F52" s="167">
        <v>256000</v>
      </c>
      <c r="G52" s="184">
        <f t="shared" si="64"/>
        <v>6.3253833984374994</v>
      </c>
      <c r="H52" s="184">
        <v>1619298.15</v>
      </c>
      <c r="I52" s="167">
        <v>130</v>
      </c>
      <c r="J52" s="167">
        <f t="shared" si="59"/>
        <v>2255.1076923076921</v>
      </c>
      <c r="K52" s="167">
        <v>293164</v>
      </c>
      <c r="L52" s="184">
        <f t="shared" si="60"/>
        <v>6.3277232879889764</v>
      </c>
      <c r="M52" s="184">
        <v>1855060.6700000004</v>
      </c>
      <c r="N52" s="167">
        <v>133</v>
      </c>
      <c r="O52" s="167">
        <f t="shared" si="65"/>
        <v>2278.3834586466164</v>
      </c>
      <c r="P52" s="167">
        <v>303025</v>
      </c>
      <c r="Q52" s="184">
        <f t="shared" si="66"/>
        <v>6.3276792343866015</v>
      </c>
      <c r="R52" s="184">
        <v>1917445</v>
      </c>
      <c r="S52" s="167">
        <v>156</v>
      </c>
      <c r="T52" s="167">
        <f t="shared" si="4"/>
        <v>1709.9551282051282</v>
      </c>
      <c r="U52" s="167">
        <v>266753</v>
      </c>
      <c r="V52" s="184">
        <f t="shared" si="67"/>
        <v>6.3015359902231651</v>
      </c>
      <c r="W52" s="184">
        <v>1680953.63</v>
      </c>
      <c r="X52" s="167">
        <v>111</v>
      </c>
      <c r="Y52" s="167">
        <f t="shared" si="5"/>
        <v>812.36936936936934</v>
      </c>
      <c r="Z52" s="167">
        <v>90173</v>
      </c>
      <c r="AA52" s="184">
        <f t="shared" si="6"/>
        <v>6.3230542401827599</v>
      </c>
      <c r="AB52" s="184">
        <v>570168.77</v>
      </c>
      <c r="AC52" s="167">
        <v>106</v>
      </c>
      <c r="AD52" s="167">
        <f t="shared" si="7"/>
        <v>547.30188679245282</v>
      </c>
      <c r="AE52" s="167">
        <v>58014</v>
      </c>
      <c r="AF52" s="184">
        <f t="shared" si="8"/>
        <v>6.2731166614955018</v>
      </c>
      <c r="AG52" s="184">
        <v>363928.59</v>
      </c>
      <c r="AH52" s="167">
        <f>65+20</f>
        <v>85</v>
      </c>
      <c r="AI52" s="167">
        <f t="shared" si="9"/>
        <v>551.34117647058827</v>
      </c>
      <c r="AJ52" s="167">
        <f>13602+33262</f>
        <v>46864</v>
      </c>
      <c r="AK52" s="184">
        <f t="shared" si="68"/>
        <v>6.1829314612495736</v>
      </c>
      <c r="AL52" s="184">
        <f>204582.22+85174.68</f>
        <v>289756.90000000002</v>
      </c>
      <c r="AM52" s="167">
        <f>37+19</f>
        <v>56</v>
      </c>
      <c r="AN52" s="167">
        <f t="shared" si="10"/>
        <v>823.53571428571433</v>
      </c>
      <c r="AO52" s="167">
        <f>27010+19108</f>
        <v>46118</v>
      </c>
      <c r="AP52" s="184">
        <f t="shared" si="11"/>
        <v>6.3142929008196367</v>
      </c>
      <c r="AQ52" s="184">
        <f>170292.16+120910.4</f>
        <v>291202.56</v>
      </c>
      <c r="AR52" s="167">
        <f>29+46</f>
        <v>75</v>
      </c>
      <c r="AS52" s="167">
        <f t="shared" si="12"/>
        <v>837.86666666666667</v>
      </c>
      <c r="AT52" s="167">
        <f>34279+28561</f>
        <v>62840</v>
      </c>
      <c r="AU52" s="184">
        <f t="shared" si="13"/>
        <v>6.9309807447485667</v>
      </c>
      <c r="AV52" s="184">
        <f>236805.46+198737.37</f>
        <v>435542.82999999996</v>
      </c>
      <c r="AW52" s="167">
        <f>'Factor D Back Up'!D820</f>
        <v>79</v>
      </c>
      <c r="AX52" s="167">
        <f>'Factor D Back Up'!E820</f>
        <v>812.65148934331501</v>
      </c>
      <c r="AY52" s="167">
        <f>'Factor D Back Up'!F820</f>
        <v>64199.467658121888</v>
      </c>
      <c r="AZ52" s="184">
        <f>'Factor D Back Up'!G820</f>
        <v>7.21</v>
      </c>
      <c r="BA52" s="184">
        <f>'Factor D Back Up'!H820</f>
        <v>462878.16181505879</v>
      </c>
      <c r="BB52" s="167">
        <f>'Factor D Back Up'!D821</f>
        <v>71</v>
      </c>
      <c r="BC52" s="167">
        <f>'Factor D Back Up'!E821</f>
        <v>845.37433155210067</v>
      </c>
      <c r="BD52" s="167">
        <f>'Factor D Back Up'!F821</f>
        <v>60021.577540199149</v>
      </c>
      <c r="BE52" s="184">
        <f>'Factor D Back Up'!G821</f>
        <v>6.92</v>
      </c>
      <c r="BF52" s="184">
        <f>'Factor D Back Up'!H821</f>
        <v>415349.31657817808</v>
      </c>
      <c r="BG52" s="167">
        <f>'Factor D Back Up'!D822</f>
        <v>46</v>
      </c>
      <c r="BH52" s="167">
        <f>'Factor D Back Up'!E822</f>
        <v>878.09717376088634</v>
      </c>
      <c r="BI52" s="167">
        <f>'Factor D Back Up'!F822</f>
        <v>40392.46999300077</v>
      </c>
      <c r="BJ52" s="184">
        <f>'Factor D Back Up'!G822</f>
        <v>7.09992</v>
      </c>
      <c r="BK52" s="184">
        <f>'Factor D Back Up'!H822</f>
        <v>286783.30555270601</v>
      </c>
      <c r="BL52" s="167">
        <f>'Factor D Back Up'!D823</f>
        <v>13</v>
      </c>
      <c r="BM52" s="167">
        <f>'Factor D Back Up'!E823</f>
        <v>910.82001596967189</v>
      </c>
      <c r="BN52" s="167">
        <f>'Factor D Back Up'!F823</f>
        <v>11840.660207605735</v>
      </c>
      <c r="BO52" s="184">
        <f>'Factor D Back Up'!G823</f>
        <v>7.2845179199999999</v>
      </c>
      <c r="BP52" s="184">
        <f>'Factor D Back Up'!H823</f>
        <v>86253.501466934904</v>
      </c>
      <c r="BQ52" s="167">
        <f>'Factor D Back Up'!D824</f>
        <v>1</v>
      </c>
      <c r="BR52" s="167">
        <f>'Factor D Back Up'!E824</f>
        <v>943.54285817845755</v>
      </c>
      <c r="BS52" s="167">
        <f>'Factor D Back Up'!F824</f>
        <v>943.54285817845755</v>
      </c>
      <c r="BT52" s="184">
        <f>'Factor D Back Up'!G824</f>
        <v>7.4739153859199998</v>
      </c>
      <c r="BU52" s="184">
        <f>'Factor D Back Up'!H824</f>
        <v>7051.959485014906</v>
      </c>
      <c r="BV52" s="167">
        <f>'Factor D Back Up'!D825</f>
        <v>20</v>
      </c>
      <c r="BW52" s="167">
        <f>'Factor D Back Up'!E825</f>
        <v>976.26570038724321</v>
      </c>
      <c r="BX52" s="167">
        <f>'Factor D Back Up'!F825</f>
        <v>19525.314007744862</v>
      </c>
      <c r="BY52" s="184">
        <f>'Factor D Back Up'!G825</f>
        <v>7.6682371859539202</v>
      </c>
      <c r="BZ52" s="184">
        <f>'Factor D Back Up'!H825</f>
        <v>149724.73894161612</v>
      </c>
      <c r="CA52" s="86"/>
      <c r="CB52" s="187">
        <f t="shared" si="14"/>
        <v>5039594.2638395084</v>
      </c>
      <c r="CC52" s="282">
        <f>+'linked - DO NOT USE or DELETE'!H52+'linked - DO NOT USE or DELETE'!M52+'linked - DO NOT USE or DELETE'!R52</f>
        <v>5391803.8200000003</v>
      </c>
      <c r="CD52" s="281">
        <f t="shared" si="15"/>
        <v>10431398.08383951</v>
      </c>
      <c r="CE52" s="86"/>
      <c r="CF52" s="576">
        <f t="shared" si="16"/>
        <v>10431398.08383951</v>
      </c>
      <c r="CG52" s="86"/>
      <c r="CH52" s="86"/>
      <c r="CI52" s="86"/>
    </row>
    <row r="53" spans="1:87" ht="15" customHeight="1" x14ac:dyDescent="0.25">
      <c r="A53" s="80" t="s">
        <v>309</v>
      </c>
      <c r="B53" s="165"/>
      <c r="C53" s="590" t="s">
        <v>152</v>
      </c>
      <c r="D53" s="167">
        <v>0</v>
      </c>
      <c r="E53" s="167" t="e">
        <f t="shared" si="63"/>
        <v>#DIV/0!</v>
      </c>
      <c r="F53" s="167">
        <v>0</v>
      </c>
      <c r="G53" s="184" t="e">
        <f t="shared" si="64"/>
        <v>#DIV/0!</v>
      </c>
      <c r="H53" s="184">
        <v>0</v>
      </c>
      <c r="I53" s="167">
        <v>0</v>
      </c>
      <c r="J53" s="167" t="e">
        <f t="shared" si="59"/>
        <v>#DIV/0!</v>
      </c>
      <c r="K53" s="167">
        <v>0</v>
      </c>
      <c r="L53" s="184" t="e">
        <f t="shared" si="60"/>
        <v>#DIV/0!</v>
      </c>
      <c r="M53" s="184">
        <v>0</v>
      </c>
      <c r="N53" s="167">
        <v>0</v>
      </c>
      <c r="O53" s="167" t="e">
        <f t="shared" si="65"/>
        <v>#DIV/0!</v>
      </c>
      <c r="P53" s="167">
        <v>0</v>
      </c>
      <c r="Q53" s="184" t="e">
        <f t="shared" si="66"/>
        <v>#DIV/0!</v>
      </c>
      <c r="R53" s="184">
        <v>0</v>
      </c>
      <c r="S53" s="167">
        <v>0</v>
      </c>
      <c r="T53" s="167" t="e">
        <f t="shared" si="4"/>
        <v>#DIV/0!</v>
      </c>
      <c r="U53" s="167">
        <v>0</v>
      </c>
      <c r="V53" s="184" t="e">
        <f t="shared" si="67"/>
        <v>#DIV/0!</v>
      </c>
      <c r="W53" s="184">
        <v>0</v>
      </c>
      <c r="X53" s="167">
        <v>0</v>
      </c>
      <c r="Y53" s="167" t="e">
        <f t="shared" si="5"/>
        <v>#DIV/0!</v>
      </c>
      <c r="Z53" s="167">
        <v>0</v>
      </c>
      <c r="AA53" s="184" t="e">
        <f t="shared" si="6"/>
        <v>#DIV/0!</v>
      </c>
      <c r="AB53" s="184">
        <v>0</v>
      </c>
      <c r="AC53" s="167">
        <v>2</v>
      </c>
      <c r="AD53" s="167">
        <f t="shared" si="7"/>
        <v>137</v>
      </c>
      <c r="AE53" s="167">
        <v>274</v>
      </c>
      <c r="AF53" s="184">
        <f t="shared" si="8"/>
        <v>10.67</v>
      </c>
      <c r="AG53" s="184">
        <v>2923.58</v>
      </c>
      <c r="AH53" s="167">
        <v>64</v>
      </c>
      <c r="AI53" s="167">
        <f t="shared" si="9"/>
        <v>695.90625</v>
      </c>
      <c r="AJ53" s="167">
        <v>44538</v>
      </c>
      <c r="AK53" s="184">
        <f t="shared" si="68"/>
        <v>10.594835196910504</v>
      </c>
      <c r="AL53" s="184">
        <v>471872.77</v>
      </c>
      <c r="AM53" s="167">
        <v>88</v>
      </c>
      <c r="AN53" s="167">
        <f t="shared" si="10"/>
        <v>811.7045454545455</v>
      </c>
      <c r="AO53" s="167">
        <v>71430</v>
      </c>
      <c r="AP53" s="184">
        <f t="shared" si="11"/>
        <v>9.8123369732605337</v>
      </c>
      <c r="AQ53" s="184">
        <v>700895.23</v>
      </c>
      <c r="AR53" s="167">
        <v>48</v>
      </c>
      <c r="AS53" s="167">
        <f t="shared" si="12"/>
        <v>749.5625</v>
      </c>
      <c r="AT53" s="167">
        <v>35979</v>
      </c>
      <c r="AU53" s="184">
        <f t="shared" si="13"/>
        <v>4.8867997998832653</v>
      </c>
      <c r="AV53" s="184">
        <v>175822.17</v>
      </c>
      <c r="AW53" s="167">
        <f>'Factor D Back Up'!D1270</f>
        <v>10</v>
      </c>
      <c r="AX53" s="167">
        <f>'Factor D Back Up'!E1270</f>
        <v>806.0473484848485</v>
      </c>
      <c r="AY53" s="167">
        <f>'Factor D Back Up'!F1270</f>
        <v>8060.473484848485</v>
      </c>
      <c r="AZ53" s="184">
        <f>'Factor D Back Up'!G1270</f>
        <v>2.88</v>
      </c>
      <c r="BA53" s="184">
        <f>'Factor D Back Up'!H1270</f>
        <v>23214.163636363635</v>
      </c>
      <c r="BB53" s="167">
        <f>'Factor D Back Up'!D1271</f>
        <v>10</v>
      </c>
      <c r="BC53" s="167">
        <f>'Factor D Back Up'!E1271</f>
        <v>799.6720067867243</v>
      </c>
      <c r="BD53" s="167">
        <f>'Factor D Back Up'!F1271</f>
        <v>7996.7200678672434</v>
      </c>
      <c r="BE53" s="184">
        <f>'Factor D Back Up'!G1271</f>
        <v>3.34</v>
      </c>
      <c r="BF53" s="184">
        <f>'Factor D Back Up'!H1271</f>
        <v>26709.045026676591</v>
      </c>
      <c r="BG53" s="167">
        <f>'Factor D Back Up'!D1272</f>
        <v>10</v>
      </c>
      <c r="BH53" s="167">
        <f>'Factor D Back Up'!E1272</f>
        <v>816.96990006789838</v>
      </c>
      <c r="BI53" s="167">
        <f>'Factor D Back Up'!F1272</f>
        <v>8169.6990006789838</v>
      </c>
      <c r="BJ53" s="184">
        <f>'Factor D Back Up'!G1272</f>
        <v>3.4268399999999999</v>
      </c>
      <c r="BK53" s="184">
        <f>'Factor D Back Up'!H1272</f>
        <v>27996.251323486769</v>
      </c>
      <c r="BL53" s="167">
        <f>'Factor D Back Up'!D1273</f>
        <v>10</v>
      </c>
      <c r="BM53" s="167">
        <f>'Factor D Back Up'!E1273</f>
        <v>827.3486360366029</v>
      </c>
      <c r="BN53" s="167">
        <f>'Factor D Back Up'!F1273</f>
        <v>8273.4863603660287</v>
      </c>
      <c r="BO53" s="184">
        <f>'Factor D Back Up'!G1273</f>
        <v>3.5159378399999999</v>
      </c>
      <c r="BP53" s="184">
        <f>'Factor D Back Up'!H1273</f>
        <v>29089.063763134796</v>
      </c>
      <c r="BQ53" s="167">
        <f>'Factor D Back Up'!D1274</f>
        <v>10</v>
      </c>
      <c r="BR53" s="167">
        <f>'Factor D Back Up'!E1274</f>
        <v>837.7273720053073</v>
      </c>
      <c r="BS53" s="167">
        <f>'Factor D Back Up'!F1274</f>
        <v>8377.2737200530737</v>
      </c>
      <c r="BT53" s="184">
        <f>'Factor D Back Up'!G1274</f>
        <v>3.60735222384</v>
      </c>
      <c r="BU53" s="184">
        <f>'Factor D Back Up'!H1274</f>
        <v>30219.776983749845</v>
      </c>
      <c r="BV53" s="167">
        <f>'Factor D Back Up'!D1275</f>
        <v>10</v>
      </c>
      <c r="BW53" s="167">
        <f>'Factor D Back Up'!E1275</f>
        <v>848.10610797401182</v>
      </c>
      <c r="BX53" s="167">
        <f>'Factor D Back Up'!F1275</f>
        <v>8481.0610797401187</v>
      </c>
      <c r="BY53" s="184">
        <f>'Factor D Back Up'!G1275</f>
        <v>3.7011433816598398</v>
      </c>
      <c r="BZ53" s="184">
        <f>'Factor D Back Up'!H1275</f>
        <v>31389.623084732993</v>
      </c>
      <c r="CA53" s="86"/>
      <c r="CB53" s="187">
        <f t="shared" si="14"/>
        <v>1520131.6738181447</v>
      </c>
      <c r="CC53" s="282">
        <f>'linked - DO NOT USE or DELETE'!H53+'linked - DO NOT USE or DELETE'!M53+'linked - DO NOT USE or DELETE'!R53</f>
        <v>0</v>
      </c>
      <c r="CD53" s="281">
        <f t="shared" si="15"/>
        <v>1520131.6738181447</v>
      </c>
      <c r="CE53" s="86"/>
      <c r="CF53" s="576">
        <f t="shared" si="16"/>
        <v>1520131.6738181445</v>
      </c>
      <c r="CG53" s="86"/>
      <c r="CH53" s="86"/>
      <c r="CI53" s="86"/>
    </row>
    <row r="54" spans="1:87" s="17" customFormat="1" ht="15" customHeight="1" x14ac:dyDescent="0.25">
      <c r="A54" s="80" t="s">
        <v>1104</v>
      </c>
      <c r="B54" s="165"/>
      <c r="C54" s="590" t="s">
        <v>152</v>
      </c>
      <c r="D54" s="167">
        <v>0</v>
      </c>
      <c r="E54" s="167" t="e">
        <f t="shared" si="63"/>
        <v>#DIV/0!</v>
      </c>
      <c r="F54" s="167">
        <v>0</v>
      </c>
      <c r="G54" s="184" t="e">
        <f t="shared" si="64"/>
        <v>#DIV/0!</v>
      </c>
      <c r="H54" s="184">
        <v>0</v>
      </c>
      <c r="I54" s="167">
        <v>0</v>
      </c>
      <c r="J54" s="167" t="e">
        <f t="shared" si="59"/>
        <v>#DIV/0!</v>
      </c>
      <c r="K54" s="167">
        <v>0</v>
      </c>
      <c r="L54" s="184" t="e">
        <f t="shared" si="60"/>
        <v>#DIV/0!</v>
      </c>
      <c r="M54" s="184">
        <v>0</v>
      </c>
      <c r="N54" s="167">
        <v>0</v>
      </c>
      <c r="O54" s="167" t="e">
        <f t="shared" si="65"/>
        <v>#DIV/0!</v>
      </c>
      <c r="P54" s="167">
        <v>0</v>
      </c>
      <c r="Q54" s="184" t="e">
        <f t="shared" si="66"/>
        <v>#DIV/0!</v>
      </c>
      <c r="R54" s="184">
        <v>0</v>
      </c>
      <c r="S54" s="167">
        <v>0</v>
      </c>
      <c r="T54" s="167" t="e">
        <f t="shared" si="4"/>
        <v>#DIV/0!</v>
      </c>
      <c r="U54" s="167">
        <v>0</v>
      </c>
      <c r="V54" s="184" t="e">
        <f t="shared" si="67"/>
        <v>#DIV/0!</v>
      </c>
      <c r="W54" s="184">
        <v>0</v>
      </c>
      <c r="X54" s="167">
        <v>0</v>
      </c>
      <c r="Y54" s="167" t="e">
        <f t="shared" si="5"/>
        <v>#DIV/0!</v>
      </c>
      <c r="Z54" s="167">
        <v>0</v>
      </c>
      <c r="AA54" s="184" t="e">
        <f t="shared" si="6"/>
        <v>#DIV/0!</v>
      </c>
      <c r="AB54" s="184">
        <v>0</v>
      </c>
      <c r="AC54" s="167">
        <v>0</v>
      </c>
      <c r="AD54" s="167" t="e">
        <f t="shared" si="7"/>
        <v>#DIV/0!</v>
      </c>
      <c r="AE54" s="167">
        <v>0</v>
      </c>
      <c r="AF54" s="184" t="e">
        <f t="shared" si="8"/>
        <v>#DIV/0!</v>
      </c>
      <c r="AG54" s="184">
        <v>0</v>
      </c>
      <c r="AH54" s="167">
        <v>0</v>
      </c>
      <c r="AI54" s="167" t="e">
        <f t="shared" si="9"/>
        <v>#DIV/0!</v>
      </c>
      <c r="AJ54" s="167">
        <v>0</v>
      </c>
      <c r="AK54" s="184" t="e">
        <f t="shared" si="68"/>
        <v>#DIV/0!</v>
      </c>
      <c r="AL54" s="184">
        <v>0</v>
      </c>
      <c r="AM54" s="167">
        <v>0</v>
      </c>
      <c r="AN54" s="167" t="e">
        <f t="shared" si="10"/>
        <v>#DIV/0!</v>
      </c>
      <c r="AO54" s="167">
        <v>0</v>
      </c>
      <c r="AP54" s="184" t="e">
        <f t="shared" si="11"/>
        <v>#DIV/0!</v>
      </c>
      <c r="AQ54" s="184">
        <v>0</v>
      </c>
      <c r="AR54" s="167">
        <v>0</v>
      </c>
      <c r="AS54" s="167" t="e">
        <f t="shared" si="12"/>
        <v>#DIV/0!</v>
      </c>
      <c r="AT54" s="167">
        <v>0</v>
      </c>
      <c r="AU54" s="184" t="e">
        <f t="shared" si="13"/>
        <v>#DIV/0!</v>
      </c>
      <c r="AV54" s="184">
        <v>0</v>
      </c>
      <c r="AW54" s="167">
        <f>'Factor D Back Up'!D1288</f>
        <v>0</v>
      </c>
      <c r="AX54" s="167">
        <f>'Factor D Back Up'!E1288</f>
        <v>640</v>
      </c>
      <c r="AY54" s="167">
        <f>'Factor D Back Up'!F1288</f>
        <v>0</v>
      </c>
      <c r="AZ54" s="184">
        <f>'Factor D Back Up'!G1288</f>
        <v>5.82</v>
      </c>
      <c r="BA54" s="184">
        <f>'Factor D Back Up'!H1288</f>
        <v>0</v>
      </c>
      <c r="BB54" s="167">
        <f>'Factor D Back Up'!D1289</f>
        <v>0</v>
      </c>
      <c r="BC54" s="167">
        <f>'Factor D Back Up'!E1289</f>
        <v>640</v>
      </c>
      <c r="BD54" s="167">
        <f>'Factor D Back Up'!F1289</f>
        <v>0</v>
      </c>
      <c r="BE54" s="184">
        <f>'Factor D Back Up'!G1289</f>
        <v>5.9713200000000004</v>
      </c>
      <c r="BF54" s="184">
        <f>'Factor D Back Up'!H1289</f>
        <v>0</v>
      </c>
      <c r="BG54" s="167">
        <f>'Factor D Back Up'!D1290</f>
        <v>33</v>
      </c>
      <c r="BH54" s="167">
        <f>'Factor D Back Up'!E1290</f>
        <v>640</v>
      </c>
      <c r="BI54" s="167">
        <f>'Factor D Back Up'!F1290</f>
        <v>21120</v>
      </c>
      <c r="BJ54" s="184">
        <f>'Factor D Back Up'!G1290</f>
        <v>6.1265743200000005</v>
      </c>
      <c r="BK54" s="184">
        <f>'Factor D Back Up'!H1290</f>
        <v>129393.24963840001</v>
      </c>
      <c r="BL54" s="167">
        <f>'Factor D Back Up'!D1291</f>
        <v>96</v>
      </c>
      <c r="BM54" s="167">
        <f>'Factor D Back Up'!E1291</f>
        <v>640</v>
      </c>
      <c r="BN54" s="167">
        <f>'Factor D Back Up'!F1291</f>
        <v>61440</v>
      </c>
      <c r="BO54" s="184">
        <f>'Factor D Back Up'!G1291</f>
        <v>6.2858652523200007</v>
      </c>
      <c r="BP54" s="184">
        <f>'Factor D Back Up'!H1291</f>
        <v>386203.56110254081</v>
      </c>
      <c r="BQ54" s="167">
        <f>'Factor D Back Up'!D1292</f>
        <v>156</v>
      </c>
      <c r="BR54" s="167">
        <f>'Factor D Back Up'!E1292</f>
        <v>640</v>
      </c>
      <c r="BS54" s="167">
        <f>'Factor D Back Up'!F1292</f>
        <v>99840</v>
      </c>
      <c r="BT54" s="184">
        <f>'Factor D Back Up'!G1292</f>
        <v>6.4492977488803209</v>
      </c>
      <c r="BU54" s="184">
        <f>'Factor D Back Up'!H1292</f>
        <v>643897.88724821119</v>
      </c>
      <c r="BV54" s="167">
        <f>'Factor D Back Up'!D1293</f>
        <v>156</v>
      </c>
      <c r="BW54" s="167">
        <f>'Factor D Back Up'!E1293</f>
        <v>640</v>
      </c>
      <c r="BX54" s="167">
        <f>'Factor D Back Up'!F1293</f>
        <v>99840</v>
      </c>
      <c r="BY54" s="184">
        <f>'Factor D Back Up'!G1293</f>
        <v>6.6169794903512091</v>
      </c>
      <c r="BZ54" s="184">
        <f>'Factor D Back Up'!H1293</f>
        <v>660639.23231666477</v>
      </c>
      <c r="CA54" s="77"/>
      <c r="CB54" s="187">
        <f t="shared" si="14"/>
        <v>1820133.9303058167</v>
      </c>
      <c r="CC54" s="282">
        <f>+'linked - DO NOT USE or DELETE'!H54+'linked - DO NOT USE or DELETE'!M54+'linked - DO NOT USE or DELETE'!R54</f>
        <v>0</v>
      </c>
      <c r="CD54" s="281">
        <f t="shared" si="15"/>
        <v>1820133.9303058167</v>
      </c>
      <c r="CE54" s="77"/>
      <c r="CF54" s="576">
        <f t="shared" si="16"/>
        <v>1820133.9303058167</v>
      </c>
      <c r="CG54" s="77"/>
      <c r="CH54" s="77"/>
      <c r="CI54" s="77"/>
    </row>
    <row r="55" spans="1:87" ht="15" customHeight="1" x14ac:dyDescent="0.25">
      <c r="A55" s="257" t="s">
        <v>321</v>
      </c>
      <c r="B55" s="165" t="s">
        <v>138</v>
      </c>
      <c r="C55" s="590" t="s">
        <v>152</v>
      </c>
      <c r="D55" s="167">
        <v>80</v>
      </c>
      <c r="E55" s="167">
        <f t="shared" ref="E55:E84" si="89">F55/D55</f>
        <v>4427.2875000000004</v>
      </c>
      <c r="F55" s="167">
        <v>354183</v>
      </c>
      <c r="G55" s="184">
        <f t="shared" ref="G55:G84" si="90">H55/F55</f>
        <v>5.5187205484170612</v>
      </c>
      <c r="H55" s="184">
        <v>1954637</v>
      </c>
      <c r="I55" s="167">
        <v>99</v>
      </c>
      <c r="J55" s="167">
        <f t="shared" ref="J55:J84" si="91">K55/I55</f>
        <v>5112.6565656565654</v>
      </c>
      <c r="K55" s="167">
        <v>506153</v>
      </c>
      <c r="L55" s="184">
        <f t="shared" ref="L55:L84" si="92">M55/K55</f>
        <v>5.5170659859765721</v>
      </c>
      <c r="M55" s="184">
        <v>2792479.5</v>
      </c>
      <c r="N55" s="167">
        <v>129</v>
      </c>
      <c r="O55" s="167">
        <f t="shared" ref="O55:O84" si="93">P55/N55</f>
        <v>5904.7054263565888</v>
      </c>
      <c r="P55" s="167">
        <v>761707</v>
      </c>
      <c r="Q55" s="184">
        <f t="shared" ref="Q55:Q84" si="94">R55/P55</f>
        <v>5.4834398265999917</v>
      </c>
      <c r="R55" s="184">
        <v>4176774.5</v>
      </c>
      <c r="S55" s="167">
        <v>193</v>
      </c>
      <c r="T55" s="167">
        <f t="shared" si="4"/>
        <v>8002.5699481865286</v>
      </c>
      <c r="U55" s="167">
        <v>1544496</v>
      </c>
      <c r="V55" s="184">
        <f t="shared" si="67"/>
        <v>5.4798369824201556</v>
      </c>
      <c r="W55" s="184">
        <v>8463586.3000000007</v>
      </c>
      <c r="X55" s="167">
        <v>185</v>
      </c>
      <c r="Y55" s="167">
        <f t="shared" si="5"/>
        <v>10978.956054054055</v>
      </c>
      <c r="Z55" s="167">
        <v>2031106.87</v>
      </c>
      <c r="AA55" s="184">
        <f t="shared" si="6"/>
        <v>5.492346121600189</v>
      </c>
      <c r="AB55" s="184">
        <v>11155541.939999999</v>
      </c>
      <c r="AC55" s="167">
        <v>309</v>
      </c>
      <c r="AD55" s="167">
        <f t="shared" si="7"/>
        <v>5657.1650485436894</v>
      </c>
      <c r="AE55" s="167">
        <v>1748064</v>
      </c>
      <c r="AF55" s="184">
        <f t="shared" si="8"/>
        <v>5.4572324754700059</v>
      </c>
      <c r="AG55" s="184">
        <v>9539591.6300000008</v>
      </c>
      <c r="AH55" s="167">
        <v>302</v>
      </c>
      <c r="AI55" s="167">
        <f t="shared" si="9"/>
        <v>5155.0264900662251</v>
      </c>
      <c r="AJ55" s="167">
        <v>1556818</v>
      </c>
      <c r="AK55" s="184">
        <f t="shared" si="68"/>
        <v>5.4997457698973164</v>
      </c>
      <c r="AL55" s="184">
        <v>8562103.2100000009</v>
      </c>
      <c r="AM55" s="167">
        <v>138</v>
      </c>
      <c r="AN55" s="167">
        <f t="shared" si="10"/>
        <v>9727.9057971014499</v>
      </c>
      <c r="AO55" s="167">
        <v>1342451</v>
      </c>
      <c r="AP55" s="184">
        <f t="shared" si="11"/>
        <v>5.9150416439780669</v>
      </c>
      <c r="AQ55" s="184">
        <v>7940653.5700000003</v>
      </c>
      <c r="AR55" s="167">
        <v>133</v>
      </c>
      <c r="AS55" s="167">
        <f t="shared" si="12"/>
        <v>9115.2406015037595</v>
      </c>
      <c r="AT55" s="167">
        <v>1212327</v>
      </c>
      <c r="AU55" s="184">
        <f t="shared" si="13"/>
        <v>5.9613591712467011</v>
      </c>
      <c r="AV55" s="184">
        <v>7227116.6799999997</v>
      </c>
      <c r="AW55" s="167">
        <v>120</v>
      </c>
      <c r="AX55" s="167">
        <f>'Factor D Back Up'!E1072</f>
        <v>9516.2346030626068</v>
      </c>
      <c r="AY55" s="167">
        <f>'Factor D Back Up'!F1072</f>
        <v>885009.81808482239</v>
      </c>
      <c r="AZ55" s="184">
        <f>'Factor D Back Up'!G1072</f>
        <v>6.03</v>
      </c>
      <c r="BA55" s="184">
        <f>'Factor D Back Up'!H1072</f>
        <v>5336609.2030514795</v>
      </c>
      <c r="BB55" s="167">
        <f>'Factor D Back Up'!D1073</f>
        <v>97</v>
      </c>
      <c r="BC55" s="167">
        <f>'Factor D Back Up'!E1073</f>
        <v>9995.4478918647073</v>
      </c>
      <c r="BD55" s="167">
        <f>'Factor D Back Up'!F1073</f>
        <v>969558.4455108766</v>
      </c>
      <c r="BE55" s="184">
        <f>'Factor D Back Up'!G1073</f>
        <v>6.1867800000000006</v>
      </c>
      <c r="BF55" s="184">
        <f>'Factor D Back Up'!H1073</f>
        <v>5998444.7995177815</v>
      </c>
      <c r="BG55" s="167">
        <f>'Factor D Back Up'!D1074</f>
        <v>100</v>
      </c>
      <c r="BH55" s="167">
        <f>'Factor D Back Up'!E1074</f>
        <v>10474.661180666812</v>
      </c>
      <c r="BI55" s="167">
        <f>'Factor D Back Up'!F1074</f>
        <v>1047466.1180666812</v>
      </c>
      <c r="BJ55" s="184">
        <f>'Factor D Back Up'!G1074</f>
        <v>6.3476362800000006</v>
      </c>
      <c r="BK55" s="184">
        <f>'Factor D Back Up'!H1074</f>
        <v>6648933.9331108294</v>
      </c>
      <c r="BL55" s="167">
        <f>'Factor D Back Up'!D1075</f>
        <v>101</v>
      </c>
      <c r="BM55" s="167">
        <f>'Factor D Back Up'!E1075</f>
        <v>10953.874469468912</v>
      </c>
      <c r="BN55" s="167">
        <f>'Factor D Back Up'!F1075</f>
        <v>1106341.3214163601</v>
      </c>
      <c r="BO55" s="184">
        <f>'Factor D Back Up'!G1075</f>
        <v>6.5126748232800002</v>
      </c>
      <c r="BP55" s="184">
        <f>'Factor D Back Up'!H1075</f>
        <v>7205241.2699426552</v>
      </c>
      <c r="BQ55" s="167">
        <f>'Factor D Back Up'!D1076</f>
        <v>103</v>
      </c>
      <c r="BR55" s="167">
        <f>'Factor D Back Up'!E1076</f>
        <v>11433.087758271015</v>
      </c>
      <c r="BS55" s="167">
        <f>'Factor D Back Up'!F1076</f>
        <v>1177608.0391019145</v>
      </c>
      <c r="BT55" s="184">
        <f>'Factor D Back Up'!G1076</f>
        <v>6.6820043686852806</v>
      </c>
      <c r="BU55" s="184">
        <f>'Factor D Back Up'!H1076</f>
        <v>7868782.0618778998</v>
      </c>
      <c r="BV55" s="167">
        <f>'Factor D Back Up'!D1077</f>
        <v>104</v>
      </c>
      <c r="BW55" s="167">
        <f>'Factor D Back Up'!E1077</f>
        <v>11912.301047073117</v>
      </c>
      <c r="BX55" s="167">
        <f>'Factor D Back Up'!F1077</f>
        <v>1238879.3088956042</v>
      </c>
      <c r="BY55" s="184">
        <f>'Factor D Back Up'!G1077</f>
        <v>6.855736482271098</v>
      </c>
      <c r="BZ55" s="184">
        <f>'Factor D Back Up'!H1077</f>
        <v>8493430.0751263984</v>
      </c>
      <c r="CA55" s="86"/>
      <c r="CB55" s="187">
        <f t="shared" si="14"/>
        <v>94440034.672627032</v>
      </c>
      <c r="CC55" s="282">
        <f>+'linked - DO NOT USE or DELETE'!H68+'linked - DO NOT USE or DELETE'!M68+'linked - DO NOT USE or DELETE'!R68</f>
        <v>8923891</v>
      </c>
      <c r="CD55" s="281">
        <f t="shared" si="15"/>
        <v>103363925.67262703</v>
      </c>
      <c r="CE55" s="86"/>
      <c r="CF55" s="576">
        <f t="shared" si="16"/>
        <v>103363925.67262706</v>
      </c>
      <c r="CG55" s="86"/>
      <c r="CH55" s="86"/>
      <c r="CI55" s="86"/>
    </row>
    <row r="56" spans="1:87" ht="15" customHeight="1" x14ac:dyDescent="0.25">
      <c r="A56" s="81" t="s">
        <v>310</v>
      </c>
      <c r="B56" s="165" t="s">
        <v>138</v>
      </c>
      <c r="C56" s="590" t="s">
        <v>135</v>
      </c>
      <c r="D56" s="167">
        <v>28</v>
      </c>
      <c r="E56" s="167">
        <f t="shared" si="89"/>
        <v>142</v>
      </c>
      <c r="F56" s="167">
        <v>3976</v>
      </c>
      <c r="G56" s="184">
        <f t="shared" si="90"/>
        <v>194.72862173038229</v>
      </c>
      <c r="H56" s="184">
        <v>774241</v>
      </c>
      <c r="I56" s="167">
        <v>15</v>
      </c>
      <c r="J56" s="167">
        <f t="shared" si="91"/>
        <v>259.53333333333336</v>
      </c>
      <c r="K56" s="167">
        <v>3893</v>
      </c>
      <c r="L56" s="184">
        <f t="shared" si="92"/>
        <v>194.97251477010019</v>
      </c>
      <c r="M56" s="184">
        <v>759028</v>
      </c>
      <c r="N56" s="167">
        <v>15</v>
      </c>
      <c r="O56" s="167">
        <f t="shared" si="93"/>
        <v>249.06666666666666</v>
      </c>
      <c r="P56" s="167">
        <v>3736</v>
      </c>
      <c r="Q56" s="184">
        <f t="shared" si="94"/>
        <v>195</v>
      </c>
      <c r="R56" s="184">
        <v>728520</v>
      </c>
      <c r="S56" s="167">
        <v>26</v>
      </c>
      <c r="T56" s="167">
        <f t="shared" si="4"/>
        <v>136.03846153846155</v>
      </c>
      <c r="U56" s="167">
        <v>3537</v>
      </c>
      <c r="V56" s="184">
        <f t="shared" si="67"/>
        <v>195</v>
      </c>
      <c r="W56" s="184">
        <v>689715</v>
      </c>
      <c r="X56" s="167">
        <v>8</v>
      </c>
      <c r="Y56" s="167">
        <f t="shared" si="5"/>
        <v>278.75</v>
      </c>
      <c r="Z56" s="167">
        <v>2230</v>
      </c>
      <c r="AA56" s="184">
        <f t="shared" si="6"/>
        <v>195</v>
      </c>
      <c r="AB56" s="184">
        <v>434850</v>
      </c>
      <c r="AC56" s="167">
        <v>23</v>
      </c>
      <c r="AD56" s="167">
        <f t="shared" si="7"/>
        <v>114.47826086956522</v>
      </c>
      <c r="AE56" s="167">
        <v>2633</v>
      </c>
      <c r="AF56" s="184">
        <f t="shared" si="8"/>
        <v>232.98556779339157</v>
      </c>
      <c r="AG56" s="184">
        <v>613451</v>
      </c>
      <c r="AH56" s="167">
        <v>15</v>
      </c>
      <c r="AI56" s="167">
        <f t="shared" si="9"/>
        <v>115.06666666666666</v>
      </c>
      <c r="AJ56" s="167">
        <v>1726</v>
      </c>
      <c r="AK56" s="184">
        <f t="shared" si="68"/>
        <v>236.5092062572422</v>
      </c>
      <c r="AL56" s="184">
        <v>408214.89</v>
      </c>
      <c r="AM56" s="167">
        <v>10</v>
      </c>
      <c r="AN56" s="167">
        <f t="shared" si="10"/>
        <v>134.80000000000001</v>
      </c>
      <c r="AO56" s="167">
        <v>1348</v>
      </c>
      <c r="AP56" s="184">
        <f t="shared" si="11"/>
        <v>256.03000000000003</v>
      </c>
      <c r="AQ56" s="184">
        <v>345128.44</v>
      </c>
      <c r="AR56" s="167">
        <v>5</v>
      </c>
      <c r="AS56" s="167">
        <f t="shared" si="12"/>
        <v>240.8</v>
      </c>
      <c r="AT56" s="167">
        <v>1204</v>
      </c>
      <c r="AU56" s="184">
        <f t="shared" si="13"/>
        <v>253.85674418604654</v>
      </c>
      <c r="AV56" s="184">
        <v>305643.52000000002</v>
      </c>
      <c r="AW56" s="167">
        <f>'Factor D Back Up'!D838</f>
        <v>3</v>
      </c>
      <c r="AX56" s="167">
        <f>'Factor D Back Up'!E838</f>
        <v>163.23480428589124</v>
      </c>
      <c r="AY56" s="167">
        <f>'Factor D Back Up'!F838</f>
        <v>489.70441285767373</v>
      </c>
      <c r="AZ56" s="184">
        <f>'Factor D Back Up'!G838</f>
        <v>232.78</v>
      </c>
      <c r="BA56" s="184">
        <f>'Factor D Back Up'!H838</f>
        <v>113993.39322500929</v>
      </c>
      <c r="BB56" s="167">
        <f>'Factor D Back Up'!D839</f>
        <v>4</v>
      </c>
      <c r="BC56" s="167">
        <f>'Factor D Back Up'!E839</f>
        <v>158.75880094140965</v>
      </c>
      <c r="BD56" s="167">
        <f>'Factor D Back Up'!F839</f>
        <v>635.03520376563858</v>
      </c>
      <c r="BE56" s="184">
        <f>'Factor D Back Up'!G839</f>
        <v>238.83228</v>
      </c>
      <c r="BF56" s="184">
        <f>'Factor D Back Up'!H839</f>
        <v>151666.90559561204</v>
      </c>
      <c r="BG56" s="167">
        <f>'Factor D Back Up'!D840</f>
        <v>4</v>
      </c>
      <c r="BH56" s="167">
        <f>'Factor D Back Up'!E840</f>
        <v>154.28279759692805</v>
      </c>
      <c r="BI56" s="167">
        <f>'Factor D Back Up'!F840</f>
        <v>617.13119038771219</v>
      </c>
      <c r="BJ56" s="184">
        <f>'Factor D Back Up'!G840</f>
        <v>245.04191928</v>
      </c>
      <c r="BK56" s="184">
        <f>'Factor D Back Up'!H840</f>
        <v>151223.01134015608</v>
      </c>
      <c r="BL56" s="167">
        <f>'Factor D Back Up'!D841</f>
        <v>4</v>
      </c>
      <c r="BM56" s="167">
        <f>'Factor D Back Up'!E841</f>
        <v>149.80679425244645</v>
      </c>
      <c r="BN56" s="167">
        <f>'Factor D Back Up'!F841</f>
        <v>599.22717700978581</v>
      </c>
      <c r="BO56" s="184">
        <f>'Factor D Back Up'!G841</f>
        <v>251.41300918127999</v>
      </c>
      <c r="BP56" s="184">
        <f>'Factor D Back Up'!H841</f>
        <v>150653.50775523376</v>
      </c>
      <c r="BQ56" s="167">
        <f>'Factor D Back Up'!D842</f>
        <v>4</v>
      </c>
      <c r="BR56" s="167">
        <f>'Factor D Back Up'!E842</f>
        <v>145.33079090796485</v>
      </c>
      <c r="BS56" s="167">
        <f>'Factor D Back Up'!F842</f>
        <v>581.32316363185942</v>
      </c>
      <c r="BT56" s="184">
        <f>'Factor D Back Up'!G842</f>
        <v>257.94974741999329</v>
      </c>
      <c r="BU56" s="184">
        <f>'Factor D Back Up'!H842</f>
        <v>149952.16322822956</v>
      </c>
      <c r="BV56" s="167">
        <f>'Factor D Back Up'!D843</f>
        <v>4</v>
      </c>
      <c r="BW56" s="167">
        <f>'Factor D Back Up'!E843</f>
        <v>140.85478756348323</v>
      </c>
      <c r="BX56" s="167">
        <f>'Factor D Back Up'!F843</f>
        <v>563.41915025393291</v>
      </c>
      <c r="BY56" s="184">
        <f>'Factor D Back Up'!G843</f>
        <v>264.65644085291314</v>
      </c>
      <c r="BZ56" s="184">
        <f>'Factor D Back Up'!H843</f>
        <v>149112.50701457859</v>
      </c>
      <c r="CA56" s="86"/>
      <c r="CB56" s="187">
        <f t="shared" si="14"/>
        <v>3663604.3381588194</v>
      </c>
      <c r="CC56" s="282">
        <f>+'linked - DO NOT USE or DELETE'!H55+'linked - DO NOT USE or DELETE'!M55+'linked - DO NOT USE or DELETE'!R55</f>
        <v>2261789</v>
      </c>
      <c r="CD56" s="281">
        <f t="shared" si="15"/>
        <v>5925393.3381588198</v>
      </c>
      <c r="CE56" s="86"/>
      <c r="CF56" s="576">
        <f t="shared" si="16"/>
        <v>5925393.3381588189</v>
      </c>
      <c r="CG56" s="86"/>
      <c r="CH56" s="86"/>
      <c r="CI56" s="86"/>
    </row>
    <row r="57" spans="1:87" ht="15" customHeight="1" x14ac:dyDescent="0.25">
      <c r="A57" s="81" t="s">
        <v>311</v>
      </c>
      <c r="B57" s="165" t="s">
        <v>138</v>
      </c>
      <c r="C57" s="590" t="s">
        <v>135</v>
      </c>
      <c r="D57" s="167">
        <v>32</v>
      </c>
      <c r="E57" s="167">
        <f t="shared" si="89"/>
        <v>193.75</v>
      </c>
      <c r="F57" s="167">
        <v>6200</v>
      </c>
      <c r="G57" s="184">
        <f t="shared" si="90"/>
        <v>239.73174193548388</v>
      </c>
      <c r="H57" s="184">
        <v>1486336.8</v>
      </c>
      <c r="I57" s="167">
        <v>52</v>
      </c>
      <c r="J57" s="167">
        <f t="shared" si="91"/>
        <v>177.86538461538461</v>
      </c>
      <c r="K57" s="167">
        <v>9249</v>
      </c>
      <c r="L57" s="184">
        <f t="shared" si="92"/>
        <v>239.69172883554978</v>
      </c>
      <c r="M57" s="184">
        <v>2216908.7999999998</v>
      </c>
      <c r="N57" s="167">
        <v>53</v>
      </c>
      <c r="O57" s="167">
        <f t="shared" si="93"/>
        <v>231.83018867924528</v>
      </c>
      <c r="P57" s="167">
        <v>12287</v>
      </c>
      <c r="Q57" s="184">
        <f t="shared" si="94"/>
        <v>240</v>
      </c>
      <c r="R57" s="184">
        <v>2948880</v>
      </c>
      <c r="S57" s="167">
        <v>61</v>
      </c>
      <c r="T57" s="167">
        <f t="shared" si="4"/>
        <v>202.88524590163934</v>
      </c>
      <c r="U57" s="167">
        <v>12376</v>
      </c>
      <c r="V57" s="184">
        <f t="shared" si="67"/>
        <v>240</v>
      </c>
      <c r="W57" s="184">
        <v>2970240</v>
      </c>
      <c r="X57" s="167">
        <v>53</v>
      </c>
      <c r="Y57" s="167">
        <f t="shared" si="5"/>
        <v>281.07547169811323</v>
      </c>
      <c r="Z57" s="167">
        <v>14897</v>
      </c>
      <c r="AA57" s="184">
        <f t="shared" si="6"/>
        <v>240</v>
      </c>
      <c r="AB57" s="184">
        <v>3575280</v>
      </c>
      <c r="AC57" s="167">
        <v>98</v>
      </c>
      <c r="AD57" s="167">
        <f t="shared" si="7"/>
        <v>157</v>
      </c>
      <c r="AE57" s="167">
        <v>15386</v>
      </c>
      <c r="AF57" s="184">
        <f t="shared" si="8"/>
        <v>251.77304042636163</v>
      </c>
      <c r="AG57" s="184">
        <v>3873780</v>
      </c>
      <c r="AH57" s="167">
        <v>90</v>
      </c>
      <c r="AI57" s="167">
        <f t="shared" si="9"/>
        <v>137.61111111111111</v>
      </c>
      <c r="AJ57" s="167">
        <v>12385</v>
      </c>
      <c r="AK57" s="184">
        <f t="shared" si="68"/>
        <v>254.29097941057731</v>
      </c>
      <c r="AL57" s="184">
        <v>3149393.78</v>
      </c>
      <c r="AM57" s="167">
        <v>33</v>
      </c>
      <c r="AN57" s="167">
        <f t="shared" si="10"/>
        <v>287.5151515151515</v>
      </c>
      <c r="AO57" s="167">
        <v>9488</v>
      </c>
      <c r="AP57" s="184">
        <f t="shared" si="11"/>
        <v>273.55971543001687</v>
      </c>
      <c r="AQ57" s="184">
        <v>2595534.58</v>
      </c>
      <c r="AR57" s="167">
        <v>35</v>
      </c>
      <c r="AS57" s="167">
        <f t="shared" si="12"/>
        <v>221.02857142857144</v>
      </c>
      <c r="AT57" s="167">
        <v>7736</v>
      </c>
      <c r="AU57" s="184">
        <f t="shared" si="13"/>
        <v>264.31654214064116</v>
      </c>
      <c r="AV57" s="184">
        <v>2044752.77</v>
      </c>
      <c r="AW57" s="167">
        <f>'Factor D Back Up'!D856</f>
        <v>25</v>
      </c>
      <c r="AX57" s="167">
        <f>'Factor D Back Up'!E856</f>
        <v>227.04069599788619</v>
      </c>
      <c r="AY57" s="167">
        <f>'Factor D Back Up'!F856</f>
        <v>5676.0173999471544</v>
      </c>
      <c r="AZ57" s="184">
        <f>'Factor D Back Up'!G856</f>
        <v>243.13</v>
      </c>
      <c r="BA57" s="184">
        <f>'Factor D Back Up'!H856</f>
        <v>1380010.1104491516</v>
      </c>
      <c r="BB57" s="167">
        <f>'Factor D Back Up'!D857</f>
        <v>26</v>
      </c>
      <c r="BC57" s="167">
        <f>'Factor D Back Up'!E857</f>
        <v>230.43636575414749</v>
      </c>
      <c r="BD57" s="167">
        <f>'Factor D Back Up'!F857</f>
        <v>5991.3455096078351</v>
      </c>
      <c r="BE57" s="184">
        <f>'Factor D Back Up'!G857</f>
        <v>249.45138</v>
      </c>
      <c r="BF57" s="184">
        <f>'Factor D Back Up'!H857</f>
        <v>1494549.4054284778</v>
      </c>
      <c r="BG57" s="167">
        <f>'Factor D Back Up'!D858</f>
        <v>26</v>
      </c>
      <c r="BH57" s="167">
        <f>'Factor D Back Up'!E858</f>
        <v>233.83203551040879</v>
      </c>
      <c r="BI57" s="167">
        <f>'Factor D Back Up'!F858</f>
        <v>6079.6329232706285</v>
      </c>
      <c r="BJ57" s="184">
        <f>'Factor D Back Up'!G858</f>
        <v>255.93711587999999</v>
      </c>
      <c r="BK57" s="184">
        <f>'Factor D Back Up'!H858</f>
        <v>1556003.7159909778</v>
      </c>
      <c r="BL57" s="167">
        <f>'Factor D Back Up'!D859</f>
        <v>26</v>
      </c>
      <c r="BM57" s="167">
        <f>'Factor D Back Up'!E859</f>
        <v>237.22770526667011</v>
      </c>
      <c r="BN57" s="167">
        <f>'Factor D Back Up'!F859</f>
        <v>6167.9203369334227</v>
      </c>
      <c r="BO57" s="184">
        <f>'Factor D Back Up'!G859</f>
        <v>262.59148089287999</v>
      </c>
      <c r="BP57" s="184">
        <f>'Factor D Back Up'!H859</f>
        <v>1619643.3353046589</v>
      </c>
      <c r="BQ57" s="167">
        <f>'Factor D Back Up'!D860</f>
        <v>27</v>
      </c>
      <c r="BR57" s="167">
        <f>'Factor D Back Up'!E860</f>
        <v>240.62337502293141</v>
      </c>
      <c r="BS57" s="167">
        <f>'Factor D Back Up'!F860</f>
        <v>6496.8311256191482</v>
      </c>
      <c r="BT57" s="184">
        <f>'Factor D Back Up'!G860</f>
        <v>269.41885939609489</v>
      </c>
      <c r="BU57" s="184">
        <f>'Factor D Back Up'!H860</f>
        <v>1750368.8315533581</v>
      </c>
      <c r="BV57" s="167">
        <f>'Factor D Back Up'!D861</f>
        <v>28</v>
      </c>
      <c r="BW57" s="167">
        <f>'Factor D Back Up'!E861</f>
        <v>244.01904477919271</v>
      </c>
      <c r="BX57" s="167">
        <f>'Factor D Back Up'!F861</f>
        <v>6832.5332538173961</v>
      </c>
      <c r="BY57" s="184">
        <f>'Factor D Back Up'!G861</f>
        <v>276.42374974039336</v>
      </c>
      <c r="BZ57" s="184">
        <f>'Factor D Back Up'!H861</f>
        <v>1888674.4622461356</v>
      </c>
      <c r="CA57" s="86"/>
      <c r="CB57" s="187">
        <f t="shared" si="14"/>
        <v>27898230.990972757</v>
      </c>
      <c r="CC57" s="282">
        <f>+'linked - DO NOT USE or DELETE'!H56+'linked - DO NOT USE or DELETE'!M56+'linked - DO NOT USE or DELETE'!R56</f>
        <v>6652125.5999999996</v>
      </c>
      <c r="CD57" s="281">
        <f t="shared" si="15"/>
        <v>34550356.590972759</v>
      </c>
      <c r="CE57" s="86"/>
      <c r="CF57" s="576">
        <f t="shared" si="16"/>
        <v>34550356.590972759</v>
      </c>
      <c r="CG57" s="86"/>
      <c r="CH57" s="86"/>
      <c r="CI57" s="86"/>
    </row>
    <row r="58" spans="1:87" ht="15" customHeight="1" x14ac:dyDescent="0.25">
      <c r="A58" s="81" t="s">
        <v>312</v>
      </c>
      <c r="B58" s="165" t="s">
        <v>138</v>
      </c>
      <c r="C58" s="590" t="s">
        <v>135</v>
      </c>
      <c r="D58" s="167">
        <v>8</v>
      </c>
      <c r="E58" s="167">
        <f t="shared" si="89"/>
        <v>26.375</v>
      </c>
      <c r="F58" s="167">
        <v>211</v>
      </c>
      <c r="G58" s="184">
        <f t="shared" si="90"/>
        <v>283.5924170616114</v>
      </c>
      <c r="H58" s="184">
        <v>59838</v>
      </c>
      <c r="I58" s="167">
        <v>3</v>
      </c>
      <c r="J58" s="167">
        <f t="shared" si="91"/>
        <v>155.33333333333334</v>
      </c>
      <c r="K58" s="167">
        <v>466</v>
      </c>
      <c r="L58" s="184">
        <f t="shared" si="92"/>
        <v>286</v>
      </c>
      <c r="M58" s="184">
        <v>133276</v>
      </c>
      <c r="N58" s="167">
        <v>3</v>
      </c>
      <c r="O58" s="167">
        <f t="shared" si="93"/>
        <v>219</v>
      </c>
      <c r="P58" s="167">
        <v>657</v>
      </c>
      <c r="Q58" s="184">
        <f t="shared" si="94"/>
        <v>286</v>
      </c>
      <c r="R58" s="184">
        <v>187902</v>
      </c>
      <c r="S58" s="167">
        <v>3</v>
      </c>
      <c r="T58" s="167">
        <f t="shared" si="4"/>
        <v>12.333333333333334</v>
      </c>
      <c r="U58" s="167">
        <v>37</v>
      </c>
      <c r="V58" s="184">
        <f t="shared" si="67"/>
        <v>286</v>
      </c>
      <c r="W58" s="184">
        <v>10582</v>
      </c>
      <c r="X58" s="167">
        <v>3</v>
      </c>
      <c r="Y58" s="167">
        <f t="shared" si="5"/>
        <v>196.33333333333334</v>
      </c>
      <c r="Z58" s="167">
        <v>589</v>
      </c>
      <c r="AA58" s="184">
        <f t="shared" si="6"/>
        <v>286</v>
      </c>
      <c r="AB58" s="184">
        <v>168454</v>
      </c>
      <c r="AC58" s="167">
        <v>5</v>
      </c>
      <c r="AD58" s="167">
        <f t="shared" si="7"/>
        <v>128.6</v>
      </c>
      <c r="AE58" s="167">
        <v>643</v>
      </c>
      <c r="AF58" s="184">
        <f t="shared" si="8"/>
        <v>286</v>
      </c>
      <c r="AG58" s="184">
        <v>183898</v>
      </c>
      <c r="AH58" s="167">
        <v>0</v>
      </c>
      <c r="AI58" s="167" t="e">
        <f t="shared" si="9"/>
        <v>#DIV/0!</v>
      </c>
      <c r="AJ58" s="167">
        <v>0</v>
      </c>
      <c r="AK58" s="184" t="e">
        <f t="shared" si="68"/>
        <v>#DIV/0!</v>
      </c>
      <c r="AL58" s="184">
        <v>0</v>
      </c>
      <c r="AM58" s="167">
        <v>0</v>
      </c>
      <c r="AN58" s="167" t="e">
        <f t="shared" si="10"/>
        <v>#DIV/0!</v>
      </c>
      <c r="AO58" s="167">
        <v>0</v>
      </c>
      <c r="AP58" s="184" t="e">
        <f t="shared" si="11"/>
        <v>#DIV/0!</v>
      </c>
      <c r="AQ58" s="184">
        <v>0</v>
      </c>
      <c r="AR58" s="167">
        <v>0</v>
      </c>
      <c r="AS58" s="167" t="e">
        <f t="shared" si="12"/>
        <v>#DIV/0!</v>
      </c>
      <c r="AT58" s="167">
        <v>0</v>
      </c>
      <c r="AU58" s="184" t="e">
        <f t="shared" si="13"/>
        <v>#DIV/0!</v>
      </c>
      <c r="AV58" s="184">
        <v>0</v>
      </c>
      <c r="AW58" s="167">
        <f>'Factor D Back Up'!D874</f>
        <v>2</v>
      </c>
      <c r="AX58" s="167">
        <f>'Factor D Back Up'!E874</f>
        <v>202.38095238095241</v>
      </c>
      <c r="AY58" s="167">
        <f>'Factor D Back Up'!F874</f>
        <v>404.76190476190482</v>
      </c>
      <c r="AZ58" s="184">
        <f>'Factor D Back Up'!G874</f>
        <v>328.58</v>
      </c>
      <c r="BA58" s="184">
        <f>'Factor D Back Up'!H874</f>
        <v>132996.66666666669</v>
      </c>
      <c r="BB58" s="167">
        <f>'Factor D Back Up'!D875</f>
        <v>1</v>
      </c>
      <c r="BC58" s="167">
        <f>'Factor D Back Up'!E875</f>
        <v>214.59404761904767</v>
      </c>
      <c r="BD58" s="167">
        <f>'Factor D Back Up'!F875</f>
        <v>214.59404761904767</v>
      </c>
      <c r="BE58" s="184">
        <f>'Factor D Back Up'!G875</f>
        <v>337.12307999999996</v>
      </c>
      <c r="BF58" s="184">
        <f>'Factor D Back Up'!H875</f>
        <v>72344.606283000016</v>
      </c>
      <c r="BG58" s="167">
        <f>'Factor D Back Up'!D876</f>
        <v>1</v>
      </c>
      <c r="BH58" s="167">
        <f>'Factor D Back Up'!E876</f>
        <v>226.80714285714288</v>
      </c>
      <c r="BI58" s="167">
        <f>'Factor D Back Up'!F876</f>
        <v>226.80714285714288</v>
      </c>
      <c r="BJ58" s="184">
        <f>'Factor D Back Up'!G876</f>
        <v>345.88828007999996</v>
      </c>
      <c r="BK58" s="184">
        <f>'Factor D Back Up'!H876</f>
        <v>78449.932552715996</v>
      </c>
      <c r="BL58" s="167">
        <f>'Factor D Back Up'!D877</f>
        <v>1</v>
      </c>
      <c r="BM58" s="167">
        <f>'Factor D Back Up'!E877</f>
        <v>239.02023809523814</v>
      </c>
      <c r="BN58" s="167">
        <f>'Factor D Back Up'!F877</f>
        <v>239.02023809523814</v>
      </c>
      <c r="BO58" s="184">
        <f>'Factor D Back Up'!G877</f>
        <v>354.88137536207995</v>
      </c>
      <c r="BP58" s="184">
        <f>'Factor D Back Up'!H877</f>
        <v>84823.830834609922</v>
      </c>
      <c r="BQ58" s="167">
        <f>'Factor D Back Up'!D878</f>
        <v>1</v>
      </c>
      <c r="BR58" s="167">
        <f>'Factor D Back Up'!E878</f>
        <v>251.23333333333341</v>
      </c>
      <c r="BS58" s="167">
        <f>'Factor D Back Up'!F878</f>
        <v>251.23333333333341</v>
      </c>
      <c r="BT58" s="184">
        <f>'Factor D Back Up'!G878</f>
        <v>364.10829112149401</v>
      </c>
      <c r="BU58" s="184">
        <f>'Factor D Back Up'!H878</f>
        <v>91476.139672756704</v>
      </c>
      <c r="BV58" s="167">
        <f>'Factor D Back Up'!D879</f>
        <v>1</v>
      </c>
      <c r="BW58" s="167">
        <f>'Factor D Back Up'!E879</f>
        <v>263.44642857142861</v>
      </c>
      <c r="BX58" s="167">
        <f>'Factor D Back Up'!F879</f>
        <v>263.44642857142861</v>
      </c>
      <c r="BY58" s="184">
        <f>'Factor D Back Up'!G879</f>
        <v>373.57510669065283</v>
      </c>
      <c r="BZ58" s="184">
        <f>'Factor D Back Up'!H879</f>
        <v>98417.027660842898</v>
      </c>
      <c r="CA58" s="86"/>
      <c r="CB58" s="187">
        <f t="shared" si="14"/>
        <v>921442.20367059228</v>
      </c>
      <c r="CC58" s="282">
        <f>+'linked - DO NOT USE or DELETE'!H57+'linked - DO NOT USE or DELETE'!M57+'linked - DO NOT USE or DELETE'!R57</f>
        <v>381016</v>
      </c>
      <c r="CD58" s="281">
        <f t="shared" si="15"/>
        <v>1302458.2036705923</v>
      </c>
      <c r="CE58" s="86"/>
      <c r="CF58" s="576">
        <f t="shared" si="16"/>
        <v>1302458.2036705923</v>
      </c>
      <c r="CG58" s="86"/>
      <c r="CH58" s="86"/>
      <c r="CI58" s="86"/>
    </row>
    <row r="59" spans="1:87" ht="15" customHeight="1" x14ac:dyDescent="0.25">
      <c r="A59" s="81" t="s">
        <v>313</v>
      </c>
      <c r="B59" s="165" t="s">
        <v>138</v>
      </c>
      <c r="C59" s="590" t="s">
        <v>135</v>
      </c>
      <c r="D59" s="167">
        <v>23</v>
      </c>
      <c r="E59" s="167">
        <f t="shared" si="89"/>
        <v>93.608695652173907</v>
      </c>
      <c r="F59" s="167">
        <v>2153</v>
      </c>
      <c r="G59" s="184">
        <f t="shared" si="90"/>
        <v>327.09405480724575</v>
      </c>
      <c r="H59" s="184">
        <v>704233.50000000012</v>
      </c>
      <c r="I59" s="167">
        <v>17</v>
      </c>
      <c r="J59" s="167">
        <f t="shared" si="91"/>
        <v>137</v>
      </c>
      <c r="K59" s="167">
        <v>2329</v>
      </c>
      <c r="L59" s="184">
        <f t="shared" si="92"/>
        <v>328.462516101331</v>
      </c>
      <c r="M59" s="184">
        <v>764989.2</v>
      </c>
      <c r="N59" s="167">
        <v>20</v>
      </c>
      <c r="O59" s="167">
        <f t="shared" si="93"/>
        <v>146.4</v>
      </c>
      <c r="P59" s="167">
        <v>2928</v>
      </c>
      <c r="Q59" s="184">
        <f t="shared" si="94"/>
        <v>329.46174863387978</v>
      </c>
      <c r="R59" s="184">
        <v>964664</v>
      </c>
      <c r="S59" s="167">
        <v>20</v>
      </c>
      <c r="T59" s="167">
        <f t="shared" si="4"/>
        <v>121.25</v>
      </c>
      <c r="U59" s="167">
        <v>2425</v>
      </c>
      <c r="V59" s="184">
        <f t="shared" si="67"/>
        <v>329.51835051546391</v>
      </c>
      <c r="W59" s="184">
        <v>799082</v>
      </c>
      <c r="X59" s="167">
        <v>15</v>
      </c>
      <c r="Y59" s="167">
        <f t="shared" si="5"/>
        <v>213</v>
      </c>
      <c r="Z59" s="167">
        <v>3195</v>
      </c>
      <c r="AA59" s="184">
        <f t="shared" si="6"/>
        <v>329.19218779342725</v>
      </c>
      <c r="AB59" s="184">
        <v>1051769.04</v>
      </c>
      <c r="AC59" s="167">
        <v>26</v>
      </c>
      <c r="AD59" s="167">
        <f t="shared" si="7"/>
        <v>136.11538461538461</v>
      </c>
      <c r="AE59" s="167">
        <v>3539</v>
      </c>
      <c r="AF59" s="184">
        <f t="shared" si="8"/>
        <v>311</v>
      </c>
      <c r="AG59" s="184">
        <v>1100629</v>
      </c>
      <c r="AH59" s="167">
        <v>23</v>
      </c>
      <c r="AI59" s="167">
        <f t="shared" si="9"/>
        <v>139.21739130434781</v>
      </c>
      <c r="AJ59" s="167">
        <v>3202</v>
      </c>
      <c r="AK59" s="184">
        <f t="shared" si="68"/>
        <v>310.41959400374765</v>
      </c>
      <c r="AL59" s="184">
        <v>993963.54</v>
      </c>
      <c r="AM59" s="167">
        <v>11</v>
      </c>
      <c r="AN59" s="167">
        <f t="shared" si="10"/>
        <v>214.54545454545453</v>
      </c>
      <c r="AO59" s="167">
        <v>2360</v>
      </c>
      <c r="AP59" s="184">
        <f t="shared" si="11"/>
        <v>338.5476652542373</v>
      </c>
      <c r="AQ59" s="184">
        <v>798972.49</v>
      </c>
      <c r="AR59" s="167">
        <v>13</v>
      </c>
      <c r="AS59" s="167">
        <f t="shared" si="12"/>
        <v>189</v>
      </c>
      <c r="AT59" s="167">
        <v>2457</v>
      </c>
      <c r="AU59" s="184">
        <f t="shared" si="13"/>
        <v>335.42472120472121</v>
      </c>
      <c r="AV59" s="184">
        <v>824138.54</v>
      </c>
      <c r="AW59" s="167">
        <f>'Factor D Back Up'!D892</f>
        <v>9</v>
      </c>
      <c r="AX59" s="167">
        <f>'Factor D Back Up'!E892</f>
        <v>205.68480414513022</v>
      </c>
      <c r="AY59" s="167">
        <f>'Factor D Back Up'!F892</f>
        <v>1851.1632373061721</v>
      </c>
      <c r="AZ59" s="184">
        <f>'Factor D Back Up'!G892</f>
        <v>338.93</v>
      </c>
      <c r="BA59" s="184">
        <f>'Factor D Back Up'!H892</f>
        <v>627414.75602018088</v>
      </c>
      <c r="BB59" s="167">
        <f>'Factor D Back Up'!D893</f>
        <v>10</v>
      </c>
      <c r="BC59" s="167">
        <f>'Factor D Back Up'!E893</f>
        <v>215.92983328265936</v>
      </c>
      <c r="BD59" s="167">
        <f>'Factor D Back Up'!F893</f>
        <v>2159.2983328265937</v>
      </c>
      <c r="BE59" s="184">
        <f>'Factor D Back Up'!G893</f>
        <v>347.74218000000002</v>
      </c>
      <c r="BF59" s="184">
        <f>'Factor D Back Up'!H893</f>
        <v>750879.10952748533</v>
      </c>
      <c r="BG59" s="167">
        <f>'Factor D Back Up'!D894</f>
        <v>10</v>
      </c>
      <c r="BH59" s="167">
        <f>'Factor D Back Up'!E894</f>
        <v>226.1748624201885</v>
      </c>
      <c r="BI59" s="167">
        <f>'Factor D Back Up'!F894</f>
        <v>2261.7486242018849</v>
      </c>
      <c r="BJ59" s="184">
        <f>'Factor D Back Up'!G894</f>
        <v>356.78347668000004</v>
      </c>
      <c r="BK59" s="184">
        <f>'Factor D Back Up'!H894</f>
        <v>806954.53751895542</v>
      </c>
      <c r="BL59" s="167">
        <f>'Factor D Back Up'!D895</f>
        <v>10</v>
      </c>
      <c r="BM59" s="167">
        <f>'Factor D Back Up'!E895</f>
        <v>236.41989155771765</v>
      </c>
      <c r="BN59" s="167">
        <f>'Factor D Back Up'!F895</f>
        <v>2364.1989155771766</v>
      </c>
      <c r="BO59" s="184">
        <f>'Factor D Back Up'!G895</f>
        <v>366.05984707368003</v>
      </c>
      <c r="BP59" s="184">
        <f>'Factor D Back Up'!H895</f>
        <v>865438.2934879415</v>
      </c>
      <c r="BQ59" s="167">
        <f>'Factor D Back Up'!D896</f>
        <v>10</v>
      </c>
      <c r="BR59" s="167">
        <f>'Factor D Back Up'!E896</f>
        <v>246.66492069524676</v>
      </c>
      <c r="BS59" s="167">
        <f>'Factor D Back Up'!F896</f>
        <v>2466.6492069524675</v>
      </c>
      <c r="BT59" s="184">
        <f>'Factor D Back Up'!G896</f>
        <v>375.57740309759572</v>
      </c>
      <c r="BU59" s="184">
        <f>'Factor D Back Up'!H896</f>
        <v>926417.70349995163</v>
      </c>
      <c r="BV59" s="167">
        <f>'Factor D Back Up'!D897</f>
        <v>11</v>
      </c>
      <c r="BW59" s="167">
        <f>'Factor D Back Up'!E897</f>
        <v>256.90994983277591</v>
      </c>
      <c r="BX59" s="167">
        <f>'Factor D Back Up'!F897</f>
        <v>2826.0094481605352</v>
      </c>
      <c r="BY59" s="184">
        <f>'Factor D Back Up'!G897</f>
        <v>385.34241557813323</v>
      </c>
      <c r="BZ59" s="184">
        <f>'Factor D Back Up'!H897</f>
        <v>1088981.3072008078</v>
      </c>
      <c r="CA59" s="86"/>
      <c r="CB59" s="187">
        <f t="shared" si="14"/>
        <v>10634640.317255322</v>
      </c>
      <c r="CC59" s="282">
        <f>+'linked - DO NOT USE or DELETE'!H58+'linked - DO NOT USE or DELETE'!M58+'linked - DO NOT USE or DELETE'!R58</f>
        <v>2433886.7000000002</v>
      </c>
      <c r="CD59" s="281">
        <f t="shared" si="15"/>
        <v>13068527.017255321</v>
      </c>
      <c r="CE59" s="86"/>
      <c r="CF59" s="576">
        <f t="shared" si="16"/>
        <v>13068527.017255325</v>
      </c>
      <c r="CG59" s="86"/>
      <c r="CH59" s="86"/>
      <c r="CI59" s="86"/>
    </row>
    <row r="60" spans="1:87" ht="15" customHeight="1" x14ac:dyDescent="0.25">
      <c r="A60" s="81" t="s">
        <v>314</v>
      </c>
      <c r="B60" s="165" t="s">
        <v>138</v>
      </c>
      <c r="C60" s="590" t="s">
        <v>135</v>
      </c>
      <c r="D60" s="167">
        <v>67</v>
      </c>
      <c r="E60" s="167">
        <f t="shared" si="89"/>
        <v>221.46268656716418</v>
      </c>
      <c r="F60" s="167">
        <v>14838</v>
      </c>
      <c r="G60" s="184">
        <f t="shared" si="90"/>
        <v>358.74558565844455</v>
      </c>
      <c r="H60" s="184">
        <v>5323067</v>
      </c>
      <c r="I60" s="167">
        <v>49</v>
      </c>
      <c r="J60" s="167">
        <f t="shared" si="91"/>
        <v>285</v>
      </c>
      <c r="K60" s="167">
        <v>13965</v>
      </c>
      <c r="L60" s="184">
        <f t="shared" si="92"/>
        <v>361.33404940923737</v>
      </c>
      <c r="M60" s="184">
        <v>5046030</v>
      </c>
      <c r="N60" s="167">
        <v>64</v>
      </c>
      <c r="O60" s="167">
        <f t="shared" si="93"/>
        <v>248.609375</v>
      </c>
      <c r="P60" s="167">
        <v>15911</v>
      </c>
      <c r="Q60" s="184">
        <f t="shared" si="94"/>
        <v>357.79496009050342</v>
      </c>
      <c r="R60" s="184">
        <v>5692875.6100000003</v>
      </c>
      <c r="S60" s="167">
        <v>72</v>
      </c>
      <c r="T60" s="167">
        <f t="shared" si="4"/>
        <v>229.93055555555554</v>
      </c>
      <c r="U60" s="167">
        <v>16555</v>
      </c>
      <c r="V60" s="184">
        <f t="shared" si="67"/>
        <v>357.30384778012689</v>
      </c>
      <c r="W60" s="184">
        <v>5915165.2000000002</v>
      </c>
      <c r="X60" s="167">
        <v>74</v>
      </c>
      <c r="Y60" s="167">
        <f t="shared" si="5"/>
        <v>291.10810810810813</v>
      </c>
      <c r="Z60" s="167">
        <v>21542</v>
      </c>
      <c r="AA60" s="184">
        <f t="shared" si="6"/>
        <v>356.34884086900013</v>
      </c>
      <c r="AB60" s="184">
        <v>7676466.7300000004</v>
      </c>
      <c r="AC60" s="167">
        <v>127</v>
      </c>
      <c r="AD60" s="167">
        <f t="shared" si="7"/>
        <v>168.09448818897638</v>
      </c>
      <c r="AE60" s="167">
        <v>21348</v>
      </c>
      <c r="AF60" s="184">
        <f t="shared" si="8"/>
        <v>347.94088251826867</v>
      </c>
      <c r="AG60" s="184">
        <v>7427841.96</v>
      </c>
      <c r="AH60" s="167">
        <v>132</v>
      </c>
      <c r="AI60" s="167">
        <f t="shared" si="9"/>
        <v>150.09848484848484</v>
      </c>
      <c r="AJ60" s="167">
        <v>19813</v>
      </c>
      <c r="AK60" s="184">
        <f t="shared" si="68"/>
        <v>351.34970272043608</v>
      </c>
      <c r="AL60" s="184">
        <v>6961291.6600000001</v>
      </c>
      <c r="AM60" s="167">
        <v>67</v>
      </c>
      <c r="AN60" s="167">
        <f t="shared" si="10"/>
        <v>292.41791044776119</v>
      </c>
      <c r="AO60" s="167">
        <v>19592</v>
      </c>
      <c r="AP60" s="184">
        <f t="shared" si="11"/>
        <v>378.21249438546346</v>
      </c>
      <c r="AQ60" s="184">
        <v>7409939.1900000004</v>
      </c>
      <c r="AR60" s="167">
        <v>72</v>
      </c>
      <c r="AS60" s="167">
        <f t="shared" si="12"/>
        <v>249.54166666666666</v>
      </c>
      <c r="AT60" s="167">
        <v>17967</v>
      </c>
      <c r="AU60" s="184">
        <f t="shared" si="13"/>
        <v>377.35501419268661</v>
      </c>
      <c r="AV60" s="184">
        <v>6779937.54</v>
      </c>
      <c r="AW60" s="167">
        <f>'Factor D Back Up'!D910</f>
        <v>51</v>
      </c>
      <c r="AX60" s="167">
        <f>'Factor D Back Up'!E910</f>
        <v>227.00523649294223</v>
      </c>
      <c r="AY60" s="167">
        <f>'Factor D Back Up'!F910</f>
        <v>11577.267061140054</v>
      </c>
      <c r="AZ60" s="184">
        <f>'Factor D Back Up'!G910</f>
        <v>378.39</v>
      </c>
      <c r="BA60" s="184">
        <f>'Factor D Back Up'!H910</f>
        <v>4380722.0832647849</v>
      </c>
      <c r="BB60" s="167">
        <f>'Factor D Back Up'!D911</f>
        <v>52</v>
      </c>
      <c r="BC60" s="167">
        <f>'Factor D Back Up'!E911</f>
        <v>224.93376656080363</v>
      </c>
      <c r="BD60" s="167">
        <f>'Factor D Back Up'!F911</f>
        <v>11696.555861161789</v>
      </c>
      <c r="BE60" s="184">
        <f>'Factor D Back Up'!G911</f>
        <v>388.22814</v>
      </c>
      <c r="BF60" s="184">
        <f>'Factor D Back Up'!H911</f>
        <v>4540932.1263849391</v>
      </c>
      <c r="BG60" s="167">
        <f>'Factor D Back Up'!D912</f>
        <v>54</v>
      </c>
      <c r="BH60" s="167">
        <f>'Factor D Back Up'!E912</f>
        <v>222.86229662866504</v>
      </c>
      <c r="BI60" s="167">
        <f>'Factor D Back Up'!F912</f>
        <v>12034.564017947912</v>
      </c>
      <c r="BJ60" s="184">
        <f>'Factor D Back Up'!G912</f>
        <v>398.32207163999999</v>
      </c>
      <c r="BK60" s="184">
        <f>'Factor D Back Up'!H912</f>
        <v>4793632.4709132146</v>
      </c>
      <c r="BL60" s="167">
        <f>'Factor D Back Up'!D913</f>
        <v>55</v>
      </c>
      <c r="BM60" s="167">
        <f>'Factor D Back Up'!E913</f>
        <v>220.79082669652641</v>
      </c>
      <c r="BN60" s="167">
        <f>'Factor D Back Up'!F913</f>
        <v>12143.495468308953</v>
      </c>
      <c r="BO60" s="184">
        <f>'Factor D Back Up'!G913</f>
        <v>408.67844550263999</v>
      </c>
      <c r="BP60" s="184">
        <f>'Factor D Back Up'!H913</f>
        <v>4962784.8509568563</v>
      </c>
      <c r="BQ60" s="167">
        <f>'Factor D Back Up'!D914</f>
        <v>55</v>
      </c>
      <c r="BR60" s="167">
        <f>'Factor D Back Up'!E914</f>
        <v>218.71935676438781</v>
      </c>
      <c r="BS60" s="167">
        <f>'Factor D Back Up'!F914</f>
        <v>12029.564622041329</v>
      </c>
      <c r="BT60" s="184">
        <f>'Factor D Back Up'!G914</f>
        <v>419.30408508570861</v>
      </c>
      <c r="BU60" s="184">
        <f>'Factor D Back Up'!H914</f>
        <v>5044045.587824448</v>
      </c>
      <c r="BV60" s="167">
        <f>'Factor D Back Up'!D915</f>
        <v>56</v>
      </c>
      <c r="BW60" s="167">
        <f>'Factor D Back Up'!E915</f>
        <v>216.64788683224921</v>
      </c>
      <c r="BX60" s="167">
        <f>'Factor D Back Up'!F915</f>
        <v>12132.281662605956</v>
      </c>
      <c r="BY60" s="184">
        <f>'Factor D Back Up'!G915</f>
        <v>430.20599129793703</v>
      </c>
      <c r="BZ60" s="184">
        <f>'Factor D Back Up'!H915</f>
        <v>5219380.2593671791</v>
      </c>
      <c r="CA60" s="86"/>
      <c r="CB60" s="187">
        <f t="shared" si="14"/>
        <v>71112139.658711419</v>
      </c>
      <c r="CC60" s="282">
        <f>+'linked - DO NOT USE or DELETE'!H59+'linked - DO NOT USE or DELETE'!M59+'linked - DO NOT USE or DELETE'!R59</f>
        <v>16061972.609999999</v>
      </c>
      <c r="CD60" s="281">
        <f t="shared" si="15"/>
        <v>87174112.268711418</v>
      </c>
      <c r="CE60" s="86"/>
      <c r="CF60" s="576">
        <f t="shared" si="16"/>
        <v>87174112.268711418</v>
      </c>
      <c r="CG60" s="86"/>
      <c r="CH60" s="86"/>
      <c r="CI60" s="86"/>
    </row>
    <row r="61" spans="1:87" ht="15" customHeight="1" x14ac:dyDescent="0.25">
      <c r="A61" s="81" t="s">
        <v>315</v>
      </c>
      <c r="B61" s="165" t="s">
        <v>138</v>
      </c>
      <c r="C61" s="590" t="s">
        <v>135</v>
      </c>
      <c r="D61" s="167">
        <v>28</v>
      </c>
      <c r="E61" s="167">
        <f t="shared" si="89"/>
        <v>85.321428571428569</v>
      </c>
      <c r="F61" s="167">
        <v>2389</v>
      </c>
      <c r="G61" s="184">
        <f t="shared" si="90"/>
        <v>439.61488070322321</v>
      </c>
      <c r="H61" s="184">
        <v>1050239.9500000002</v>
      </c>
      <c r="I61" s="167">
        <v>18</v>
      </c>
      <c r="J61" s="167">
        <f t="shared" si="91"/>
        <v>148.61111111111111</v>
      </c>
      <c r="K61" s="167">
        <v>2675</v>
      </c>
      <c r="L61" s="184">
        <f t="shared" si="92"/>
        <v>449.47768224299068</v>
      </c>
      <c r="M61" s="184">
        <v>1202352.8</v>
      </c>
      <c r="N61" s="167">
        <v>59</v>
      </c>
      <c r="O61" s="167">
        <f t="shared" si="93"/>
        <v>206.71186440677965</v>
      </c>
      <c r="P61" s="167">
        <v>12196</v>
      </c>
      <c r="Q61" s="184">
        <f t="shared" si="94"/>
        <v>443.04303050180386</v>
      </c>
      <c r="R61" s="184">
        <v>5403352.7999999998</v>
      </c>
      <c r="S61" s="167">
        <v>72</v>
      </c>
      <c r="T61" s="167">
        <f t="shared" si="4"/>
        <v>212.40277777777777</v>
      </c>
      <c r="U61" s="167">
        <v>15293</v>
      </c>
      <c r="V61" s="184">
        <f t="shared" si="67"/>
        <v>449.96119531811939</v>
      </c>
      <c r="W61" s="184">
        <v>6881256.5599999996</v>
      </c>
      <c r="X61" s="167">
        <v>109</v>
      </c>
      <c r="Y61" s="167">
        <f t="shared" si="5"/>
        <v>215.85321100917432</v>
      </c>
      <c r="Z61" s="167">
        <v>23528</v>
      </c>
      <c r="AA61" s="184">
        <f t="shared" si="6"/>
        <v>449.89347840870454</v>
      </c>
      <c r="AB61" s="184">
        <v>10585093.76</v>
      </c>
      <c r="AC61" s="167">
        <v>176</v>
      </c>
      <c r="AD61" s="167">
        <f t="shared" si="7"/>
        <v>158.74431818181819</v>
      </c>
      <c r="AE61" s="167">
        <v>27939</v>
      </c>
      <c r="AF61" s="184">
        <f t="shared" si="8"/>
        <v>402.68647983106052</v>
      </c>
      <c r="AG61" s="184">
        <v>11250657.560000001</v>
      </c>
      <c r="AH61" s="167">
        <v>203</v>
      </c>
      <c r="AI61" s="167">
        <f t="shared" si="9"/>
        <v>147.35467980295567</v>
      </c>
      <c r="AJ61" s="167">
        <v>29913</v>
      </c>
      <c r="AK61" s="184">
        <f t="shared" si="68"/>
        <v>406.03166516230397</v>
      </c>
      <c r="AL61" s="184">
        <v>12145625.199999999</v>
      </c>
      <c r="AM61" s="167">
        <v>85</v>
      </c>
      <c r="AN61" s="167">
        <f t="shared" si="10"/>
        <v>273.42352941176472</v>
      </c>
      <c r="AO61" s="167">
        <v>23241</v>
      </c>
      <c r="AP61" s="184">
        <f t="shared" si="11"/>
        <v>438.50432339400197</v>
      </c>
      <c r="AQ61" s="184">
        <v>10191278.98</v>
      </c>
      <c r="AR61" s="167">
        <v>85</v>
      </c>
      <c r="AS61" s="167">
        <f t="shared" si="12"/>
        <v>245.01176470588234</v>
      </c>
      <c r="AT61" s="167">
        <v>20826</v>
      </c>
      <c r="AU61" s="184">
        <f t="shared" si="13"/>
        <v>431.77667915106116</v>
      </c>
      <c r="AV61" s="184">
        <v>8992181.1199999992</v>
      </c>
      <c r="AW61" s="167">
        <f>'Factor D Back Up'!D928</f>
        <v>60</v>
      </c>
      <c r="AX61" s="167">
        <f>'Factor D Back Up'!E928</f>
        <v>258.22822366175762</v>
      </c>
      <c r="AY61" s="167">
        <f>'Factor D Back Up'!F928</f>
        <v>15493.693419705458</v>
      </c>
      <c r="AZ61" s="184">
        <f>'Factor D Back Up'!G928</f>
        <v>428.05</v>
      </c>
      <c r="BA61" s="184">
        <f>'Factor D Back Up'!H928</f>
        <v>6632075.4683049219</v>
      </c>
      <c r="BB61" s="167">
        <f>'Factor D Back Up'!D929</f>
        <v>62</v>
      </c>
      <c r="BC61" s="167">
        <f>'Factor D Back Up'!E929</f>
        <v>272.24198650569372</v>
      </c>
      <c r="BD61" s="167">
        <f>'Factor D Back Up'!F929</f>
        <v>16879.003163353009</v>
      </c>
      <c r="BE61" s="184">
        <f>'Factor D Back Up'!G929</f>
        <v>439.17930000000001</v>
      </c>
      <c r="BF61" s="184">
        <f>'Factor D Back Up'!H929</f>
        <v>7412908.7939791605</v>
      </c>
      <c r="BG61" s="167">
        <f>'Factor D Back Up'!D930</f>
        <v>64</v>
      </c>
      <c r="BH61" s="167">
        <f>'Factor D Back Up'!E930</f>
        <v>286.25574934962992</v>
      </c>
      <c r="BI61" s="167">
        <f>'Factor D Back Up'!F930</f>
        <v>18320.367958376315</v>
      </c>
      <c r="BJ61" s="184">
        <f>'Factor D Back Up'!G930</f>
        <v>450.59796180000001</v>
      </c>
      <c r="BK61" s="184">
        <f>'Factor D Back Up'!H930</f>
        <v>8255120.4614703953</v>
      </c>
      <c r="BL61" s="167">
        <f>'Factor D Back Up'!D931</f>
        <v>64</v>
      </c>
      <c r="BM61" s="167">
        <f>'Factor D Back Up'!E931</f>
        <v>300.26951219356602</v>
      </c>
      <c r="BN61" s="167">
        <f>'Factor D Back Up'!F931</f>
        <v>19217.248780388225</v>
      </c>
      <c r="BO61" s="184">
        <f>'Factor D Back Up'!G931</f>
        <v>462.31350880680003</v>
      </c>
      <c r="BP61" s="184">
        <f>'Factor D Back Up'!H931</f>
        <v>8884393.7132744789</v>
      </c>
      <c r="BQ61" s="167">
        <f>'Factor D Back Up'!D932</f>
        <v>66</v>
      </c>
      <c r="BR61" s="167">
        <f>'Factor D Back Up'!E932</f>
        <v>314.28327503750216</v>
      </c>
      <c r="BS61" s="167">
        <f>'Factor D Back Up'!F932</f>
        <v>20742.696152475142</v>
      </c>
      <c r="BT61" s="184">
        <f>'Factor D Back Up'!G932</f>
        <v>474.3336600357768</v>
      </c>
      <c r="BU61" s="184">
        <f>'Factor D Back Up'!H932</f>
        <v>9838958.9850135595</v>
      </c>
      <c r="BV61" s="167">
        <f>'Factor D Back Up'!D933</f>
        <v>67</v>
      </c>
      <c r="BW61" s="167">
        <f>'Factor D Back Up'!E933</f>
        <v>328.29703788143831</v>
      </c>
      <c r="BX61" s="167">
        <f>'Factor D Back Up'!F933</f>
        <v>21995.901538056369</v>
      </c>
      <c r="BY61" s="184">
        <f>'Factor D Back Up'!G933</f>
        <v>486.666335196707</v>
      </c>
      <c r="BZ61" s="184">
        <f>'Factor D Back Up'!H933</f>
        <v>10704664.790873503</v>
      </c>
      <c r="CA61" s="86"/>
      <c r="CB61" s="187">
        <f t="shared" si="14"/>
        <v>111774215.39291604</v>
      </c>
      <c r="CC61" s="282">
        <f>+'linked - DO NOT USE or DELETE'!H60+'linked - DO NOT USE or DELETE'!M60+'linked - DO NOT USE or DELETE'!R60</f>
        <v>7655945.5499999998</v>
      </c>
      <c r="CD61" s="281">
        <f t="shared" si="15"/>
        <v>119430160.94291604</v>
      </c>
      <c r="CE61" s="86"/>
      <c r="CF61" s="576">
        <f t="shared" si="16"/>
        <v>119430160.94291602</v>
      </c>
      <c r="CG61" s="86"/>
      <c r="CH61" s="86"/>
      <c r="CI61" s="86"/>
    </row>
    <row r="62" spans="1:87" s="17" customFormat="1" ht="15" customHeight="1" x14ac:dyDescent="0.25">
      <c r="A62" s="256" t="s">
        <v>322</v>
      </c>
      <c r="B62" s="165" t="s">
        <v>138</v>
      </c>
      <c r="C62" s="590" t="s">
        <v>135</v>
      </c>
      <c r="D62" s="167">
        <v>0</v>
      </c>
      <c r="E62" s="167" t="e">
        <f t="shared" si="89"/>
        <v>#DIV/0!</v>
      </c>
      <c r="F62" s="167">
        <v>0</v>
      </c>
      <c r="G62" s="184" t="e">
        <f t="shared" si="90"/>
        <v>#DIV/0!</v>
      </c>
      <c r="H62" s="184">
        <v>0</v>
      </c>
      <c r="I62" s="167">
        <v>0</v>
      </c>
      <c r="J62" s="167" t="e">
        <f t="shared" si="91"/>
        <v>#DIV/0!</v>
      </c>
      <c r="K62" s="167">
        <v>0</v>
      </c>
      <c r="L62" s="184" t="e">
        <f t="shared" si="92"/>
        <v>#DIV/0!</v>
      </c>
      <c r="M62" s="184">
        <v>0</v>
      </c>
      <c r="N62" s="167">
        <v>0</v>
      </c>
      <c r="O62" s="167" t="e">
        <f t="shared" si="93"/>
        <v>#DIV/0!</v>
      </c>
      <c r="P62" s="167">
        <v>0</v>
      </c>
      <c r="Q62" s="184" t="e">
        <f t="shared" si="94"/>
        <v>#DIV/0!</v>
      </c>
      <c r="R62" s="184">
        <v>0</v>
      </c>
      <c r="S62" s="167">
        <v>0</v>
      </c>
      <c r="T62" s="167" t="e">
        <f t="shared" si="4"/>
        <v>#DIV/0!</v>
      </c>
      <c r="U62" s="167">
        <v>0</v>
      </c>
      <c r="V62" s="184" t="e">
        <f t="shared" si="67"/>
        <v>#DIV/0!</v>
      </c>
      <c r="W62" s="184">
        <v>0</v>
      </c>
      <c r="X62" s="167">
        <v>0</v>
      </c>
      <c r="Y62" s="167" t="e">
        <f t="shared" si="5"/>
        <v>#DIV/0!</v>
      </c>
      <c r="Z62" s="167">
        <v>0</v>
      </c>
      <c r="AA62" s="184" t="e">
        <f t="shared" si="6"/>
        <v>#DIV/0!</v>
      </c>
      <c r="AB62" s="184">
        <v>0</v>
      </c>
      <c r="AC62" s="167">
        <v>0</v>
      </c>
      <c r="AD62" s="167" t="e">
        <f t="shared" si="7"/>
        <v>#DIV/0!</v>
      </c>
      <c r="AE62" s="167">
        <v>0</v>
      </c>
      <c r="AF62" s="184" t="e">
        <f t="shared" si="8"/>
        <v>#DIV/0!</v>
      </c>
      <c r="AG62" s="184">
        <v>0</v>
      </c>
      <c r="AH62" s="167">
        <v>15</v>
      </c>
      <c r="AI62" s="167">
        <f t="shared" si="9"/>
        <v>174.6</v>
      </c>
      <c r="AJ62" s="167">
        <v>2619</v>
      </c>
      <c r="AK62" s="184">
        <f t="shared" si="68"/>
        <v>565.72133638793434</v>
      </c>
      <c r="AL62" s="184">
        <v>1481624.18</v>
      </c>
      <c r="AM62" s="167">
        <v>15</v>
      </c>
      <c r="AN62" s="167">
        <f t="shared" si="10"/>
        <v>215.73333333333332</v>
      </c>
      <c r="AO62" s="167">
        <v>3236</v>
      </c>
      <c r="AP62" s="184">
        <f t="shared" si="11"/>
        <v>602.5397033374536</v>
      </c>
      <c r="AQ62" s="184">
        <v>1949818.48</v>
      </c>
      <c r="AR62" s="167">
        <v>13</v>
      </c>
      <c r="AS62" s="167">
        <f t="shared" si="12"/>
        <v>270</v>
      </c>
      <c r="AT62" s="167">
        <v>3510</v>
      </c>
      <c r="AU62" s="184">
        <f t="shared" si="13"/>
        <v>573.96531908831912</v>
      </c>
      <c r="AV62" s="184">
        <v>2014618.27</v>
      </c>
      <c r="AW62" s="167">
        <f>'Factor D Back Up'!D1612</f>
        <v>9</v>
      </c>
      <c r="AX62" s="167">
        <f>'Factor D Back Up'!E1612</f>
        <v>315.51111111111112</v>
      </c>
      <c r="AY62" s="167">
        <f>'Factor D Back Up'!F1612</f>
        <v>2839.6</v>
      </c>
      <c r="AZ62" s="184">
        <f>'Factor D Back Up'!G1612</f>
        <v>507.17</v>
      </c>
      <c r="BA62" s="184">
        <f>'Factor D Back Up'!H1612</f>
        <v>1440159.932</v>
      </c>
      <c r="BB62" s="167">
        <f>'Factor D Back Up'!D1613</f>
        <v>10</v>
      </c>
      <c r="BC62" s="167">
        <f>'Factor D Back Up'!E1613</f>
        <v>363.21111111111117</v>
      </c>
      <c r="BD62" s="167">
        <f>'Factor D Back Up'!F1613</f>
        <v>3632.1111111111118</v>
      </c>
      <c r="BE62" s="184">
        <f>'Factor D Back Up'!G1613</f>
        <v>520.35642000000007</v>
      </c>
      <c r="BF62" s="184">
        <f>'Factor D Back Up'!H1613</f>
        <v>1889992.3348200007</v>
      </c>
      <c r="BG62" s="167">
        <f>'Factor D Back Up'!D1614</f>
        <v>10</v>
      </c>
      <c r="BH62" s="167">
        <f>'Factor D Back Up'!E1614</f>
        <v>365</v>
      </c>
      <c r="BI62" s="167">
        <f>'Factor D Back Up'!F1614</f>
        <v>3650</v>
      </c>
      <c r="BJ62" s="184">
        <f>'Factor D Back Up'!G1614</f>
        <v>533.88568692000013</v>
      </c>
      <c r="BK62" s="184">
        <f>'Factor D Back Up'!H1614</f>
        <v>1948682.7572580006</v>
      </c>
      <c r="BL62" s="167">
        <f>'Factor D Back Up'!D1615</f>
        <v>10</v>
      </c>
      <c r="BM62" s="167">
        <f>'Factor D Back Up'!E1615</f>
        <v>365</v>
      </c>
      <c r="BN62" s="167">
        <f>'Factor D Back Up'!F1615</f>
        <v>3650</v>
      </c>
      <c r="BO62" s="184">
        <f>'Factor D Back Up'!G1615</f>
        <v>547.76671477992011</v>
      </c>
      <c r="BP62" s="184">
        <f>'Factor D Back Up'!H1615</f>
        <v>1999348.5089467084</v>
      </c>
      <c r="BQ62" s="167">
        <f>'Factor D Back Up'!D1616</f>
        <v>10</v>
      </c>
      <c r="BR62" s="167">
        <f>'Factor D Back Up'!E1616</f>
        <v>365</v>
      </c>
      <c r="BS62" s="167">
        <f>'Factor D Back Up'!F1616</f>
        <v>3650</v>
      </c>
      <c r="BT62" s="184">
        <f>'Factor D Back Up'!G1616</f>
        <v>562.00864936419805</v>
      </c>
      <c r="BU62" s="184">
        <f>'Factor D Back Up'!H1616</f>
        <v>2051331.570179323</v>
      </c>
      <c r="BV62" s="167">
        <f>'Factor D Back Up'!D1617</f>
        <v>10</v>
      </c>
      <c r="BW62" s="167">
        <f>'Factor D Back Up'!E1617</f>
        <v>365</v>
      </c>
      <c r="BX62" s="167">
        <f>'Factor D Back Up'!F1617</f>
        <v>3650</v>
      </c>
      <c r="BY62" s="184">
        <f>'Factor D Back Up'!G1617</f>
        <v>576.62087424766719</v>
      </c>
      <c r="BZ62" s="184">
        <f>'Factor D Back Up'!H1617</f>
        <v>2104666.1910039852</v>
      </c>
      <c r="CA62" s="77"/>
      <c r="CB62" s="187">
        <f t="shared" si="14"/>
        <v>16880242.22420802</v>
      </c>
      <c r="CC62" s="283"/>
      <c r="CD62" s="281">
        <f t="shared" si="15"/>
        <v>16880242.22420802</v>
      </c>
      <c r="CE62" s="77"/>
      <c r="CF62" s="576">
        <f t="shared" si="16"/>
        <v>16880242.224208016</v>
      </c>
      <c r="CG62" s="77"/>
      <c r="CH62" s="77"/>
      <c r="CI62" s="77"/>
    </row>
    <row r="63" spans="1:87" ht="15" customHeight="1" x14ac:dyDescent="0.25">
      <c r="A63" s="81" t="s">
        <v>316</v>
      </c>
      <c r="B63" s="165" t="s">
        <v>138</v>
      </c>
      <c r="C63" s="590" t="s">
        <v>135</v>
      </c>
      <c r="D63" s="167">
        <v>50</v>
      </c>
      <c r="E63" s="167">
        <f t="shared" si="89"/>
        <v>244.68</v>
      </c>
      <c r="F63" s="167">
        <v>12234</v>
      </c>
      <c r="G63" s="184">
        <f t="shared" si="90"/>
        <v>261.97879843060326</v>
      </c>
      <c r="H63" s="184">
        <v>3205048.62</v>
      </c>
      <c r="I63" s="167">
        <v>39</v>
      </c>
      <c r="J63" s="167">
        <f t="shared" si="91"/>
        <v>266.4871794871795</v>
      </c>
      <c r="K63" s="167">
        <v>10393</v>
      </c>
      <c r="L63" s="184">
        <f t="shared" si="92"/>
        <v>262</v>
      </c>
      <c r="M63" s="184">
        <v>2722966</v>
      </c>
      <c r="N63" s="167">
        <v>39</v>
      </c>
      <c r="O63" s="167">
        <f t="shared" si="93"/>
        <v>243.61538461538461</v>
      </c>
      <c r="P63" s="167">
        <v>9501</v>
      </c>
      <c r="Q63" s="184">
        <f t="shared" si="94"/>
        <v>262</v>
      </c>
      <c r="R63" s="184">
        <v>2489262</v>
      </c>
      <c r="S63" s="167">
        <v>30</v>
      </c>
      <c r="T63" s="167">
        <f t="shared" si="4"/>
        <v>222.33333333333334</v>
      </c>
      <c r="U63" s="167">
        <v>6670</v>
      </c>
      <c r="V63" s="184">
        <f t="shared" si="67"/>
        <v>260.73569865067469</v>
      </c>
      <c r="W63" s="184">
        <v>1739107.11</v>
      </c>
      <c r="X63" s="167">
        <v>32</v>
      </c>
      <c r="Y63" s="167">
        <f t="shared" si="5"/>
        <v>256.0625</v>
      </c>
      <c r="Z63" s="167">
        <v>8194</v>
      </c>
      <c r="AA63" s="184">
        <f t="shared" si="6"/>
        <v>261.57935562606787</v>
      </c>
      <c r="AB63" s="184">
        <v>2143381.2400000002</v>
      </c>
      <c r="AC63" s="167">
        <v>63</v>
      </c>
      <c r="AD63" s="167">
        <f t="shared" si="7"/>
        <v>153.20634920634922</v>
      </c>
      <c r="AE63" s="167">
        <v>9652</v>
      </c>
      <c r="AF63" s="184">
        <f t="shared" si="8"/>
        <v>289.20327393286368</v>
      </c>
      <c r="AG63" s="184">
        <v>2791390</v>
      </c>
      <c r="AH63" s="167">
        <v>52</v>
      </c>
      <c r="AI63" s="167">
        <f t="shared" si="9"/>
        <v>151.42307692307693</v>
      </c>
      <c r="AJ63" s="167">
        <v>7874</v>
      </c>
      <c r="AK63" s="184">
        <f t="shared" si="68"/>
        <v>293.23800101600204</v>
      </c>
      <c r="AL63" s="184">
        <v>2308956.02</v>
      </c>
      <c r="AM63" s="167">
        <v>19</v>
      </c>
      <c r="AN63" s="167">
        <f t="shared" si="10"/>
        <v>247.31578947368422</v>
      </c>
      <c r="AO63" s="167">
        <v>4699</v>
      </c>
      <c r="AP63" s="184">
        <f t="shared" si="11"/>
        <v>317.51352415407536</v>
      </c>
      <c r="AQ63" s="184">
        <v>1491996.05</v>
      </c>
      <c r="AR63" s="167">
        <v>12</v>
      </c>
      <c r="AS63" s="167">
        <f t="shared" si="12"/>
        <v>210.66666666666666</v>
      </c>
      <c r="AT63" s="167">
        <v>2528</v>
      </c>
      <c r="AU63" s="184">
        <f t="shared" si="13"/>
        <v>318.11386075949366</v>
      </c>
      <c r="AV63" s="184">
        <v>804191.84</v>
      </c>
      <c r="AW63" s="167">
        <f>'Factor D Back Up'!D946</f>
        <v>9</v>
      </c>
      <c r="AX63" s="167">
        <f>'Factor D Back Up'!E946</f>
        <v>184.49788361573451</v>
      </c>
      <c r="AY63" s="167">
        <f>'Factor D Back Up'!F946</f>
        <v>1660.4809525416106</v>
      </c>
      <c r="AZ63" s="184">
        <f>'Factor D Back Up'!G946</f>
        <v>317.87</v>
      </c>
      <c r="BA63" s="184">
        <f>'Factor D Back Up'!H946</f>
        <v>527817.08038440172</v>
      </c>
      <c r="BB63" s="167">
        <f>'Factor D Back Up'!D947</f>
        <v>9</v>
      </c>
      <c r="BC63" s="167">
        <f>'Factor D Back Up'!E947</f>
        <v>177.04656523431086</v>
      </c>
      <c r="BD63" s="167">
        <f>'Factor D Back Up'!F947</f>
        <v>1593.4190871087978</v>
      </c>
      <c r="BE63" s="184">
        <f>'Factor D Back Up'!G947</f>
        <v>326.13461999999998</v>
      </c>
      <c r="BF63" s="184">
        <f>'Factor D Back Up'!H947</f>
        <v>519669.12847497466</v>
      </c>
      <c r="BG63" s="167">
        <f>'Factor D Back Up'!D948</f>
        <v>9</v>
      </c>
      <c r="BH63" s="167">
        <f>'Factor D Back Up'!E948</f>
        <v>169.59524685288721</v>
      </c>
      <c r="BI63" s="167">
        <f>'Factor D Back Up'!F948</f>
        <v>1526.3572216759849</v>
      </c>
      <c r="BJ63" s="184">
        <f>'Factor D Back Up'!G948</f>
        <v>334.61412012</v>
      </c>
      <c r="BK63" s="184">
        <f>'Factor D Back Up'!H948</f>
        <v>510740.67871991749</v>
      </c>
      <c r="BL63" s="167">
        <f>'Factor D Back Up'!D949</f>
        <v>9</v>
      </c>
      <c r="BM63" s="167">
        <f>'Factor D Back Up'!E949</f>
        <v>162.1439284714636</v>
      </c>
      <c r="BN63" s="167">
        <f>'Factor D Back Up'!F949</f>
        <v>1459.2953562431724</v>
      </c>
      <c r="BO63" s="184">
        <f>'Factor D Back Up'!G949</f>
        <v>343.31408724312001</v>
      </c>
      <c r="BP63" s="184">
        <f>'Factor D Back Up'!H949</f>
        <v>500996.65324674838</v>
      </c>
      <c r="BQ63" s="167">
        <f>'Factor D Back Up'!D950</f>
        <v>9</v>
      </c>
      <c r="BR63" s="167">
        <f>'Factor D Back Up'!E950</f>
        <v>154.69261009003992</v>
      </c>
      <c r="BS63" s="167">
        <f>'Factor D Back Up'!F950</f>
        <v>1392.2334908103594</v>
      </c>
      <c r="BT63" s="184">
        <f>'Factor D Back Up'!G950</f>
        <v>352.24025351144115</v>
      </c>
      <c r="BU63" s="184">
        <f>'Factor D Back Up'!H950</f>
        <v>490400.6777501597</v>
      </c>
      <c r="BV63" s="167">
        <f>'Factor D Back Up'!D951</f>
        <v>9</v>
      </c>
      <c r="BW63" s="167">
        <f>'Factor D Back Up'!E951</f>
        <v>147.2412917086163</v>
      </c>
      <c r="BX63" s="167">
        <f>'Factor D Back Up'!F951</f>
        <v>1325.1716253775467</v>
      </c>
      <c r="BY63" s="184">
        <f>'Factor D Back Up'!G951</f>
        <v>361.39850010273864</v>
      </c>
      <c r="BZ63" s="184">
        <f>'Factor D Back Up'!H951</f>
        <v>478915.03779015364</v>
      </c>
      <c r="CA63" s="86"/>
      <c r="CB63" s="187">
        <f t="shared" si="14"/>
        <v>14307561.516366355</v>
      </c>
      <c r="CC63" s="282">
        <f>+'linked - DO NOT USE or DELETE'!H61+'linked - DO NOT USE or DELETE'!M61+'linked - DO NOT USE or DELETE'!R61</f>
        <v>8417276.620000001</v>
      </c>
      <c r="CD63" s="281">
        <f t="shared" si="15"/>
        <v>22724838.136366356</v>
      </c>
      <c r="CE63" s="86"/>
      <c r="CF63" s="576">
        <f t="shared" si="16"/>
        <v>22724838.13636636</v>
      </c>
      <c r="CG63" s="86"/>
      <c r="CH63" s="86"/>
      <c r="CI63" s="86"/>
    </row>
    <row r="64" spans="1:87" ht="15" customHeight="1" x14ac:dyDescent="0.25">
      <c r="A64" s="81" t="s">
        <v>317</v>
      </c>
      <c r="B64" s="165" t="s">
        <v>138</v>
      </c>
      <c r="C64" s="590" t="s">
        <v>135</v>
      </c>
      <c r="D64" s="167">
        <v>89</v>
      </c>
      <c r="E64" s="167">
        <f t="shared" si="89"/>
        <v>219.38202247191012</v>
      </c>
      <c r="F64" s="167">
        <v>19525</v>
      </c>
      <c r="G64" s="184">
        <f t="shared" si="90"/>
        <v>321.9818294494238</v>
      </c>
      <c r="H64" s="184">
        <v>6286695.2199999997</v>
      </c>
      <c r="I64" s="167">
        <v>145</v>
      </c>
      <c r="J64" s="167">
        <f t="shared" si="91"/>
        <v>228.7103448275862</v>
      </c>
      <c r="K64" s="167">
        <v>33163</v>
      </c>
      <c r="L64" s="184">
        <f t="shared" si="92"/>
        <v>321.98269155384014</v>
      </c>
      <c r="M64" s="184">
        <v>10677912</v>
      </c>
      <c r="N64" s="167">
        <v>187</v>
      </c>
      <c r="O64" s="167">
        <f t="shared" si="93"/>
        <v>273.86631016042782</v>
      </c>
      <c r="P64" s="167">
        <v>51213</v>
      </c>
      <c r="Q64" s="184">
        <f t="shared" si="94"/>
        <v>321.85409798293404</v>
      </c>
      <c r="R64" s="184">
        <v>16483113.92</v>
      </c>
      <c r="S64" s="167">
        <v>222</v>
      </c>
      <c r="T64" s="167">
        <f t="shared" si="4"/>
        <v>258.75675675675677</v>
      </c>
      <c r="U64" s="167">
        <v>57444</v>
      </c>
      <c r="V64" s="184">
        <f t="shared" si="67"/>
        <v>321.69116321983148</v>
      </c>
      <c r="W64" s="184">
        <v>18479227.18</v>
      </c>
      <c r="X64" s="167">
        <v>238</v>
      </c>
      <c r="Y64" s="167">
        <f t="shared" si="5"/>
        <v>271.92436974789916</v>
      </c>
      <c r="Z64" s="167">
        <v>64718</v>
      </c>
      <c r="AA64" s="184">
        <f t="shared" si="6"/>
        <v>321.03333616613617</v>
      </c>
      <c r="AB64" s="184">
        <v>20776635.449999999</v>
      </c>
      <c r="AC64" s="167">
        <v>391</v>
      </c>
      <c r="AD64" s="167">
        <f t="shared" si="7"/>
        <v>158.64194373401534</v>
      </c>
      <c r="AE64" s="167">
        <v>62029</v>
      </c>
      <c r="AF64" s="184">
        <f t="shared" si="8"/>
        <v>317.96573941221044</v>
      </c>
      <c r="AG64" s="184">
        <v>19723096.850000001</v>
      </c>
      <c r="AH64" s="167">
        <v>391</v>
      </c>
      <c r="AI64" s="167">
        <f t="shared" si="9"/>
        <v>154.6010230179028</v>
      </c>
      <c r="AJ64" s="167">
        <v>60449</v>
      </c>
      <c r="AK64" s="184">
        <f t="shared" si="68"/>
        <v>321.62280666346834</v>
      </c>
      <c r="AL64" s="184">
        <v>19441777.039999999</v>
      </c>
      <c r="AM64" s="167">
        <v>226</v>
      </c>
      <c r="AN64" s="167">
        <f t="shared" si="10"/>
        <v>258.07522123893807</v>
      </c>
      <c r="AO64" s="167">
        <v>58325</v>
      </c>
      <c r="AP64" s="184">
        <f t="shared" si="11"/>
        <v>345.30476810972999</v>
      </c>
      <c r="AQ64" s="184">
        <v>20139900.600000001</v>
      </c>
      <c r="AR64" s="167">
        <v>214</v>
      </c>
      <c r="AS64" s="167">
        <f t="shared" si="12"/>
        <v>272.85981308411215</v>
      </c>
      <c r="AT64" s="167">
        <v>58392</v>
      </c>
      <c r="AU64" s="184">
        <f t="shared" si="13"/>
        <v>339.32522194821206</v>
      </c>
      <c r="AV64" s="184">
        <v>19813878.359999999</v>
      </c>
      <c r="AW64" s="167">
        <f>'Factor D Back Up'!D964</f>
        <v>150</v>
      </c>
      <c r="AX64" s="167">
        <f>'Factor D Back Up'!E964</f>
        <v>229.92645648009469</v>
      </c>
      <c r="AY64" s="167">
        <f>'Factor D Back Up'!F964</f>
        <v>34488.968472014203</v>
      </c>
      <c r="AZ64" s="184">
        <f>'Factor D Back Up'!G964</f>
        <v>330.71</v>
      </c>
      <c r="BA64" s="184">
        <f>'Factor D Back Up'!H964</f>
        <v>11405846.763379816</v>
      </c>
      <c r="BB64" s="167">
        <f>'Factor D Back Up'!D965</f>
        <v>156</v>
      </c>
      <c r="BC64" s="167">
        <f>'Factor D Back Up'!E965</f>
        <v>229.31579655301258</v>
      </c>
      <c r="BD64" s="167">
        <f>'Factor D Back Up'!F965</f>
        <v>35773.264262269964</v>
      </c>
      <c r="BE64" s="184">
        <f>'Factor D Back Up'!G965</f>
        <v>339.30845999999997</v>
      </c>
      <c r="BF64" s="184">
        <f>'Factor D Back Up'!H965</f>
        <v>12138171.206003856</v>
      </c>
      <c r="BG64" s="167">
        <f>'Factor D Back Up'!D966</f>
        <v>160</v>
      </c>
      <c r="BH64" s="167">
        <f>'Factor D Back Up'!E966</f>
        <v>228.70513662593044</v>
      </c>
      <c r="BI64" s="167">
        <f>'Factor D Back Up'!F966</f>
        <v>36592.82186014887</v>
      </c>
      <c r="BJ64" s="184">
        <f>'Factor D Back Up'!G966</f>
        <v>348.13047995999995</v>
      </c>
      <c r="BK64" s="184">
        <f>'Factor D Back Up'!H966</f>
        <v>12739076.637264404</v>
      </c>
      <c r="BL64" s="167">
        <f>'Factor D Back Up'!D967</f>
        <v>163</v>
      </c>
      <c r="BM64" s="167">
        <f>'Factor D Back Up'!E967</f>
        <v>228.0944766988483</v>
      </c>
      <c r="BN64" s="167">
        <f>'Factor D Back Up'!F967</f>
        <v>37179.399701912269</v>
      </c>
      <c r="BO64" s="184">
        <f>'Factor D Back Up'!G967</f>
        <v>357.18187243895994</v>
      </c>
      <c r="BP64" s="184">
        <f>'Factor D Back Up'!H967</f>
        <v>13279807.601685533</v>
      </c>
      <c r="BQ64" s="167">
        <f>'Factor D Back Up'!D968</f>
        <v>165</v>
      </c>
      <c r="BR64" s="167">
        <f>'Factor D Back Up'!E968</f>
        <v>227.48381677176619</v>
      </c>
      <c r="BS64" s="167">
        <f>'Factor D Back Up'!F968</f>
        <v>37534.82976734142</v>
      </c>
      <c r="BT64" s="184">
        <f>'Factor D Back Up'!G968</f>
        <v>366.46860112237289</v>
      </c>
      <c r="BU64" s="184">
        <f>'Factor D Back Up'!H968</f>
        <v>13755336.558204012</v>
      </c>
      <c r="BV64" s="167">
        <f>'Factor D Back Up'!D969</f>
        <v>168</v>
      </c>
      <c r="BW64" s="167">
        <f>'Factor D Back Up'!E969</f>
        <v>226.87315684468405</v>
      </c>
      <c r="BX64" s="167">
        <f>'Factor D Back Up'!F969</f>
        <v>38114.690349906923</v>
      </c>
      <c r="BY64" s="184">
        <f>'Factor D Back Up'!G969</f>
        <v>375.99678475155457</v>
      </c>
      <c r="BZ64" s="184">
        <f>'Factor D Back Up'!H969</f>
        <v>14331001.023366107</v>
      </c>
      <c r="CA64" s="86"/>
      <c r="CB64" s="187">
        <f t="shared" si="14"/>
        <v>196023755.26990372</v>
      </c>
      <c r="CC64" s="282">
        <f>'linked - DO NOT USE or DELETE'!H62+'linked - DO NOT USE or DELETE'!M62+'linked - DO NOT USE or DELETE'!R62</f>
        <v>33447721.140000001</v>
      </c>
      <c r="CD64" s="281">
        <f t="shared" si="15"/>
        <v>229471476.40990371</v>
      </c>
      <c r="CE64" s="86"/>
      <c r="CF64" s="576">
        <f t="shared" si="16"/>
        <v>229471476.40990371</v>
      </c>
      <c r="CG64" s="86"/>
      <c r="CH64" s="86"/>
      <c r="CI64" s="86"/>
    </row>
    <row r="65" spans="1:87" ht="15" customHeight="1" x14ac:dyDescent="0.25">
      <c r="A65" s="81" t="s">
        <v>318</v>
      </c>
      <c r="B65" s="165" t="s">
        <v>138</v>
      </c>
      <c r="C65" s="590" t="s">
        <v>135</v>
      </c>
      <c r="D65" s="167">
        <v>13</v>
      </c>
      <c r="E65" s="167">
        <f t="shared" si="89"/>
        <v>162.92307692307693</v>
      </c>
      <c r="F65" s="167">
        <v>2118</v>
      </c>
      <c r="G65" s="184">
        <f t="shared" si="90"/>
        <v>382.23512747875355</v>
      </c>
      <c r="H65" s="184">
        <v>809574</v>
      </c>
      <c r="I65" s="167">
        <v>8</v>
      </c>
      <c r="J65" s="167">
        <f t="shared" si="91"/>
        <v>149.875</v>
      </c>
      <c r="K65" s="167">
        <v>1199</v>
      </c>
      <c r="L65" s="184">
        <f t="shared" si="92"/>
        <v>382.6947456213511</v>
      </c>
      <c r="M65" s="184">
        <v>458851</v>
      </c>
      <c r="N65" s="167">
        <v>8</v>
      </c>
      <c r="O65" s="167">
        <f t="shared" si="93"/>
        <v>231.375</v>
      </c>
      <c r="P65" s="167">
        <v>1851</v>
      </c>
      <c r="Q65" s="184">
        <f t="shared" si="94"/>
        <v>378.78545650999462</v>
      </c>
      <c r="R65" s="184">
        <v>701131.88</v>
      </c>
      <c r="S65" s="167">
        <v>7</v>
      </c>
      <c r="T65" s="167">
        <f t="shared" si="4"/>
        <v>218.42857142857142</v>
      </c>
      <c r="U65" s="167">
        <v>1529</v>
      </c>
      <c r="V65" s="184">
        <f t="shared" si="67"/>
        <v>377.35203400915634</v>
      </c>
      <c r="W65" s="184">
        <v>576971.26</v>
      </c>
      <c r="X65" s="167">
        <v>4</v>
      </c>
      <c r="Y65" s="167">
        <f t="shared" si="5"/>
        <v>356.75</v>
      </c>
      <c r="Z65" s="167">
        <v>1427</v>
      </c>
      <c r="AA65" s="184">
        <f t="shared" si="6"/>
        <v>376.6886895585144</v>
      </c>
      <c r="AB65" s="184">
        <v>537534.76</v>
      </c>
      <c r="AC65" s="167">
        <v>20</v>
      </c>
      <c r="AD65" s="167">
        <f t="shared" si="7"/>
        <v>126.85</v>
      </c>
      <c r="AE65" s="167">
        <v>2537</v>
      </c>
      <c r="AF65" s="184">
        <f t="shared" si="8"/>
        <v>376.76433582972015</v>
      </c>
      <c r="AG65" s="184">
        <v>955851.12</v>
      </c>
      <c r="AH65" s="167">
        <v>26</v>
      </c>
      <c r="AI65" s="167">
        <f t="shared" si="9"/>
        <v>152.53846153846155</v>
      </c>
      <c r="AJ65" s="167">
        <v>3966</v>
      </c>
      <c r="AK65" s="184">
        <f t="shared" si="68"/>
        <v>380.71856782652549</v>
      </c>
      <c r="AL65" s="184">
        <v>1509929.84</v>
      </c>
      <c r="AM65" s="167">
        <v>7</v>
      </c>
      <c r="AN65" s="167">
        <f t="shared" si="10"/>
        <v>338.28571428571428</v>
      </c>
      <c r="AO65" s="167">
        <v>2368</v>
      </c>
      <c r="AP65" s="184">
        <f t="shared" si="11"/>
        <v>410.36578547297302</v>
      </c>
      <c r="AQ65" s="184">
        <v>971746.18</v>
      </c>
      <c r="AR65" s="167">
        <v>8</v>
      </c>
      <c r="AS65" s="167">
        <f t="shared" si="12"/>
        <v>288.375</v>
      </c>
      <c r="AT65" s="167">
        <v>2307</v>
      </c>
      <c r="AU65" s="184">
        <f t="shared" si="13"/>
        <v>398.91973125270914</v>
      </c>
      <c r="AV65" s="184">
        <v>920307.82</v>
      </c>
      <c r="AW65" s="167">
        <f>'Factor D Back Up'!D982</f>
        <v>5</v>
      </c>
      <c r="AX65" s="167">
        <f>'Factor D Back Up'!E982</f>
        <v>293.1935515873015</v>
      </c>
      <c r="AY65" s="167">
        <f>'Factor D Back Up'!F982</f>
        <v>1465.9677579365075</v>
      </c>
      <c r="AZ65" s="184">
        <f>'Factor D Back Up'!G982</f>
        <v>395.12</v>
      </c>
      <c r="BA65" s="184">
        <f>'Factor D Back Up'!H982</f>
        <v>579233.1805158729</v>
      </c>
      <c r="BB65" s="167">
        <f>'Factor D Back Up'!D983</f>
        <v>6</v>
      </c>
      <c r="BC65" s="167">
        <f>'Factor D Back Up'!E983</f>
        <v>306.82335470085462</v>
      </c>
      <c r="BD65" s="167">
        <f>'Factor D Back Up'!F983</f>
        <v>1840.9401282051276</v>
      </c>
      <c r="BE65" s="184">
        <f>'Factor D Back Up'!G983</f>
        <v>405.39312000000001</v>
      </c>
      <c r="BF65" s="184">
        <f>'Factor D Back Up'!H983</f>
        <v>746304.46230627666</v>
      </c>
      <c r="BG65" s="167">
        <f>'Factor D Back Up'!D984</f>
        <v>6</v>
      </c>
      <c r="BH65" s="167">
        <f>'Factor D Back Up'!E984</f>
        <v>320.45315781440775</v>
      </c>
      <c r="BI65" s="167">
        <f>'Factor D Back Up'!F984</f>
        <v>1922.7189468864465</v>
      </c>
      <c r="BJ65" s="184">
        <f>'Factor D Back Up'!G984</f>
        <v>415.93334112000002</v>
      </c>
      <c r="BK65" s="184">
        <f>'Factor D Back Up'!H984</f>
        <v>799722.9156132075</v>
      </c>
      <c r="BL65" s="167">
        <f>'Factor D Back Up'!D985</f>
        <v>6</v>
      </c>
      <c r="BM65" s="167">
        <f>'Factor D Back Up'!E985</f>
        <v>334.08296092796087</v>
      </c>
      <c r="BN65" s="167">
        <f>'Factor D Back Up'!F985</f>
        <v>2004.4977655677653</v>
      </c>
      <c r="BO65" s="184">
        <f>'Factor D Back Up'!G985</f>
        <v>426.74760798912001</v>
      </c>
      <c r="BP65" s="184">
        <f>'Factor D Back Up'!H985</f>
        <v>855414.6266755797</v>
      </c>
      <c r="BQ65" s="167">
        <f>'Factor D Back Up'!D986</f>
        <v>6</v>
      </c>
      <c r="BR65" s="167">
        <f>'Factor D Back Up'!E986</f>
        <v>347.71276404151399</v>
      </c>
      <c r="BS65" s="167">
        <f>'Factor D Back Up'!F986</f>
        <v>2086.276584249084</v>
      </c>
      <c r="BT65" s="184">
        <f>'Factor D Back Up'!G986</f>
        <v>437.84304579683715</v>
      </c>
      <c r="BU65" s="184">
        <f>'Factor D Back Up'!H986</f>
        <v>913461.69402224058</v>
      </c>
      <c r="BV65" s="167">
        <f>'Factor D Back Up'!D987</f>
        <v>6</v>
      </c>
      <c r="BW65" s="167">
        <f>'Factor D Back Up'!E987</f>
        <v>361.34256715506706</v>
      </c>
      <c r="BX65" s="167">
        <f>'Factor D Back Up'!F987</f>
        <v>2168.0554029304021</v>
      </c>
      <c r="BY65" s="184">
        <f>'Factor D Back Up'!G987</f>
        <v>449.22696498755494</v>
      </c>
      <c r="BZ65" s="184">
        <f>'Factor D Back Up'!H987</f>
        <v>973948.9485832951</v>
      </c>
      <c r="CA65" s="86"/>
      <c r="CB65" s="187">
        <f t="shared" si="14"/>
        <v>10340426.807716472</v>
      </c>
      <c r="CC65" s="282">
        <f>+'linked - DO NOT USE or DELETE'!H63+'linked - DO NOT USE or DELETE'!M63+'linked - DO NOT USE or DELETE'!R63</f>
        <v>1969556.88</v>
      </c>
      <c r="CD65" s="281">
        <f t="shared" si="15"/>
        <v>12309983.687716473</v>
      </c>
      <c r="CE65" s="86"/>
      <c r="CF65" s="576">
        <f t="shared" si="16"/>
        <v>12309983.687716473</v>
      </c>
      <c r="CG65" s="86"/>
      <c r="CH65" s="86"/>
      <c r="CI65" s="86"/>
    </row>
    <row r="66" spans="1:87" ht="15" customHeight="1" x14ac:dyDescent="0.25">
      <c r="A66" s="81" t="s">
        <v>319</v>
      </c>
      <c r="B66" s="165" t="s">
        <v>138</v>
      </c>
      <c r="C66" s="590" t="s">
        <v>135</v>
      </c>
      <c r="D66" s="167">
        <v>41</v>
      </c>
      <c r="E66" s="167">
        <f t="shared" si="89"/>
        <v>249.85365853658536</v>
      </c>
      <c r="F66" s="167">
        <v>10244</v>
      </c>
      <c r="G66" s="184">
        <f t="shared" si="90"/>
        <v>442.21548613822722</v>
      </c>
      <c r="H66" s="184">
        <v>4530055.4399999995</v>
      </c>
      <c r="I66" s="167">
        <v>54</v>
      </c>
      <c r="J66" s="167">
        <f t="shared" si="91"/>
        <v>150.7037037037037</v>
      </c>
      <c r="K66" s="167">
        <v>8138</v>
      </c>
      <c r="L66" s="184">
        <f t="shared" si="92"/>
        <v>445.03098795772917</v>
      </c>
      <c r="M66" s="184">
        <v>3621662.18</v>
      </c>
      <c r="N66" s="167">
        <v>47</v>
      </c>
      <c r="O66" s="167">
        <f t="shared" si="93"/>
        <v>265.51063829787233</v>
      </c>
      <c r="P66" s="167">
        <v>12479</v>
      </c>
      <c r="Q66" s="184">
        <f t="shared" si="94"/>
        <v>442.92690439939099</v>
      </c>
      <c r="R66" s="184">
        <v>5527284.8399999999</v>
      </c>
      <c r="S66" s="167">
        <v>41</v>
      </c>
      <c r="T66" s="167">
        <f t="shared" si="4"/>
        <v>259.70731707317071</v>
      </c>
      <c r="U66" s="167">
        <v>10648</v>
      </c>
      <c r="V66" s="184">
        <f t="shared" si="67"/>
        <v>441.99661532682194</v>
      </c>
      <c r="W66" s="184">
        <v>4706379.96</v>
      </c>
      <c r="X66" s="167">
        <v>37</v>
      </c>
      <c r="Y66" s="167">
        <f t="shared" si="5"/>
        <v>299.59459459459458</v>
      </c>
      <c r="Z66" s="167">
        <v>11085</v>
      </c>
      <c r="AA66" s="184">
        <f t="shared" si="6"/>
        <v>440.0025358592693</v>
      </c>
      <c r="AB66" s="184">
        <v>4877428.1100000003</v>
      </c>
      <c r="AC66" s="167">
        <v>56</v>
      </c>
      <c r="AD66" s="167">
        <f t="shared" si="7"/>
        <v>156.89285714285714</v>
      </c>
      <c r="AE66" s="167">
        <v>8786</v>
      </c>
      <c r="AF66" s="184">
        <f t="shared" si="8"/>
        <v>454.59805372183018</v>
      </c>
      <c r="AG66" s="184">
        <v>3994098.5</v>
      </c>
      <c r="AH66" s="167">
        <v>49</v>
      </c>
      <c r="AI66" s="167">
        <f t="shared" si="9"/>
        <v>156.0408163265306</v>
      </c>
      <c r="AJ66" s="167">
        <v>7646</v>
      </c>
      <c r="AK66" s="184">
        <f t="shared" si="68"/>
        <v>462.16476196704161</v>
      </c>
      <c r="AL66" s="184">
        <v>3533711.77</v>
      </c>
      <c r="AM66" s="167">
        <v>23</v>
      </c>
      <c r="AN66" s="167">
        <f t="shared" si="10"/>
        <v>330.86956521739131</v>
      </c>
      <c r="AO66" s="167">
        <v>7610</v>
      </c>
      <c r="AP66" s="184">
        <f t="shared" si="11"/>
        <v>495.71000000000004</v>
      </c>
      <c r="AQ66" s="184">
        <v>3772353.1</v>
      </c>
      <c r="AR66" s="167">
        <v>26</v>
      </c>
      <c r="AS66" s="167">
        <f t="shared" si="12"/>
        <v>242.23076923076923</v>
      </c>
      <c r="AT66" s="167">
        <v>6298</v>
      </c>
      <c r="AU66" s="184">
        <f t="shared" si="13"/>
        <v>463.01627183232773</v>
      </c>
      <c r="AV66" s="184">
        <v>2916076.48</v>
      </c>
      <c r="AW66" s="167">
        <f>'Factor D Back Up'!D1000</f>
        <v>18</v>
      </c>
      <c r="AX66" s="167">
        <f>'Factor D Back Up'!E1000</f>
        <v>250.28809585634176</v>
      </c>
      <c r="AY66" s="167">
        <f>'Factor D Back Up'!F1000</f>
        <v>4505.1857254141514</v>
      </c>
      <c r="AZ66" s="184">
        <f>'Factor D Back Up'!G1000</f>
        <v>443.39</v>
      </c>
      <c r="BA66" s="184">
        <f>'Factor D Back Up'!H1000</f>
        <v>1997554.2987913806</v>
      </c>
      <c r="BB66" s="167">
        <f>'Factor D Back Up'!D1001</f>
        <v>19</v>
      </c>
      <c r="BC66" s="167">
        <f>'Factor D Back Up'!E1001</f>
        <v>253.42562791375511</v>
      </c>
      <c r="BD66" s="167">
        <f>'Factor D Back Up'!F1001</f>
        <v>4815.0869303613472</v>
      </c>
      <c r="BE66" s="184">
        <f>'Factor D Back Up'!G1001</f>
        <v>454.91813999999999</v>
      </c>
      <c r="BF66" s="184">
        <f>'Factor D Back Up'!H1001</f>
        <v>2190470.3902982934</v>
      </c>
      <c r="BG66" s="167">
        <f>'Factor D Back Up'!D1002</f>
        <v>20</v>
      </c>
      <c r="BH66" s="167">
        <f>'Factor D Back Up'!E1002</f>
        <v>256.56315997116843</v>
      </c>
      <c r="BI66" s="167">
        <f>'Factor D Back Up'!F1002</f>
        <v>5131.2631994233689</v>
      </c>
      <c r="BJ66" s="184">
        <f>'Factor D Back Up'!G1002</f>
        <v>466.74601164000001</v>
      </c>
      <c r="BK66" s="184">
        <f>'Factor D Back Up'!H1002</f>
        <v>2394996.6330059632</v>
      </c>
      <c r="BL66" s="167">
        <f>'Factor D Back Up'!D1003</f>
        <v>20</v>
      </c>
      <c r="BM66" s="167">
        <f>'Factor D Back Up'!E1003</f>
        <v>259.70069202858178</v>
      </c>
      <c r="BN66" s="167">
        <f>'Factor D Back Up'!F1003</f>
        <v>5194.0138405716352</v>
      </c>
      <c r="BO66" s="184">
        <f>'Factor D Back Up'!G1003</f>
        <v>478.88140794264001</v>
      </c>
      <c r="BP66" s="184">
        <f>'Factor D Back Up'!H1003</f>
        <v>2487316.6608465035</v>
      </c>
      <c r="BQ66" s="167">
        <f>'Factor D Back Up'!D1004</f>
        <v>20</v>
      </c>
      <c r="BR66" s="167">
        <f>'Factor D Back Up'!E1004</f>
        <v>262.83822408599514</v>
      </c>
      <c r="BS66" s="167">
        <f>'Factor D Back Up'!F1004</f>
        <v>5256.7644817199025</v>
      </c>
      <c r="BT66" s="184">
        <f>'Factor D Back Up'!G1004</f>
        <v>491.33232454914867</v>
      </c>
      <c r="BU66" s="184">
        <f>'Factor D Back Up'!H1004</f>
        <v>2582818.3124108403</v>
      </c>
      <c r="BV66" s="167">
        <f>'Factor D Back Up'!D1005</f>
        <v>20</v>
      </c>
      <c r="BW66" s="167">
        <f>'Factor D Back Up'!E1005</f>
        <v>265.97575614340849</v>
      </c>
      <c r="BX66" s="167">
        <f>'Factor D Back Up'!F1005</f>
        <v>5319.5151228681698</v>
      </c>
      <c r="BY66" s="184">
        <f>'Factor D Back Up'!G1005</f>
        <v>504.10696498742652</v>
      </c>
      <c r="BZ66" s="184">
        <f>'Factor D Back Up'!H1005</f>
        <v>2681604.6237937906</v>
      </c>
      <c r="CA66" s="86"/>
      <c r="CB66" s="187">
        <f t="shared" si="14"/>
        <v>38134808.839146771</v>
      </c>
      <c r="CC66" s="282">
        <f>+'linked - DO NOT USE or DELETE'!H64+'linked - DO NOT USE or DELETE'!M64+'linked - DO NOT USE or DELETE'!R64</f>
        <v>13679002.459999999</v>
      </c>
      <c r="CD66" s="281">
        <f t="shared" si="15"/>
        <v>51813811.299146771</v>
      </c>
      <c r="CE66" s="86"/>
      <c r="CF66" s="576">
        <f t="shared" si="16"/>
        <v>51813811.299146757</v>
      </c>
      <c r="CG66" s="86"/>
      <c r="CH66" s="86"/>
      <c r="CI66" s="86"/>
    </row>
    <row r="67" spans="1:87" ht="15" customHeight="1" x14ac:dyDescent="0.25">
      <c r="A67" s="81" t="s">
        <v>320</v>
      </c>
      <c r="B67" s="165" t="s">
        <v>138</v>
      </c>
      <c r="C67" s="590" t="s">
        <v>135</v>
      </c>
      <c r="D67" s="167">
        <v>52</v>
      </c>
      <c r="E67" s="167">
        <f t="shared" si="89"/>
        <v>154.88461538461539</v>
      </c>
      <c r="F67" s="167">
        <v>8054</v>
      </c>
      <c r="G67" s="184">
        <f t="shared" si="90"/>
        <v>480.6093866401788</v>
      </c>
      <c r="H67" s="184">
        <v>3870828</v>
      </c>
      <c r="I67" s="167">
        <v>77</v>
      </c>
      <c r="J67" s="167">
        <f t="shared" si="91"/>
        <v>183.79220779220779</v>
      </c>
      <c r="K67" s="167">
        <v>14152</v>
      </c>
      <c r="L67" s="184">
        <f t="shared" si="92"/>
        <v>481.40531373657433</v>
      </c>
      <c r="M67" s="184">
        <v>6812848</v>
      </c>
      <c r="N67" s="167">
        <v>106</v>
      </c>
      <c r="O67" s="167">
        <f t="shared" si="93"/>
        <v>214.50943396226415</v>
      </c>
      <c r="P67" s="167">
        <v>22738</v>
      </c>
      <c r="Q67" s="184">
        <f t="shared" si="94"/>
        <v>477.33239203096139</v>
      </c>
      <c r="R67" s="184">
        <v>10853583.93</v>
      </c>
      <c r="S67" s="167">
        <v>112</v>
      </c>
      <c r="T67" s="167">
        <f t="shared" si="4"/>
        <v>214.8125</v>
      </c>
      <c r="U67" s="167">
        <v>24059</v>
      </c>
      <c r="V67" s="184">
        <f t="shared" si="67"/>
        <v>477.00237831996344</v>
      </c>
      <c r="W67" s="184">
        <v>11476200.220000001</v>
      </c>
      <c r="X67" s="167">
        <v>138</v>
      </c>
      <c r="Y67" s="167">
        <f t="shared" si="5"/>
        <v>226.53623188405797</v>
      </c>
      <c r="Z67" s="167">
        <v>31262</v>
      </c>
      <c r="AA67" s="184">
        <f t="shared" si="6"/>
        <v>480.99051884076516</v>
      </c>
      <c r="AB67" s="184">
        <v>15036725.6</v>
      </c>
      <c r="AC67" s="167">
        <v>240</v>
      </c>
      <c r="AD67" s="167">
        <f t="shared" si="7"/>
        <v>157.41249999999999</v>
      </c>
      <c r="AE67" s="167">
        <v>37779</v>
      </c>
      <c r="AF67" s="184">
        <f t="shared" si="8"/>
        <v>489.42012890759418</v>
      </c>
      <c r="AG67" s="184">
        <v>18489803.050000001</v>
      </c>
      <c r="AH67" s="167">
        <v>257</v>
      </c>
      <c r="AI67" s="167">
        <f t="shared" si="9"/>
        <v>136.33073929961088</v>
      </c>
      <c r="AJ67" s="167">
        <v>35037</v>
      </c>
      <c r="AK67" s="184">
        <f t="shared" si="68"/>
        <v>495.17892513628448</v>
      </c>
      <c r="AL67" s="184">
        <v>17349584</v>
      </c>
      <c r="AM67" s="167">
        <v>105</v>
      </c>
      <c r="AN67" s="167">
        <f t="shared" si="10"/>
        <v>246.57142857142858</v>
      </c>
      <c r="AO67" s="167">
        <v>25890</v>
      </c>
      <c r="AP67" s="184">
        <f t="shared" si="11"/>
        <v>533.75589030513709</v>
      </c>
      <c r="AQ67" s="184">
        <v>13818940</v>
      </c>
      <c r="AR67" s="167">
        <v>110</v>
      </c>
      <c r="AS67" s="167">
        <f t="shared" si="12"/>
        <v>229.57272727272726</v>
      </c>
      <c r="AT67" s="167">
        <v>25253</v>
      </c>
      <c r="AU67" s="184">
        <f t="shared" si="13"/>
        <v>526.35566031758606</v>
      </c>
      <c r="AV67" s="184">
        <v>13292059.49</v>
      </c>
      <c r="AW67" s="167">
        <f>'Factor D Back Up'!D1018</f>
        <v>77</v>
      </c>
      <c r="AX67" s="167">
        <f>'Factor D Back Up'!E1018</f>
        <v>218.82465828783495</v>
      </c>
      <c r="AY67" s="167">
        <f>'Factor D Back Up'!F1018</f>
        <v>16849.49868816329</v>
      </c>
      <c r="AZ67" s="184">
        <f>'Factor D Back Up'!G1018</f>
        <v>519.15</v>
      </c>
      <c r="BA67" s="184">
        <f>'Factor D Back Up'!H1018</f>
        <v>8747417.2439599726</v>
      </c>
      <c r="BB67" s="167">
        <f>'Factor D Back Up'!D1019</f>
        <v>80</v>
      </c>
      <c r="BC67" s="167">
        <f>'Factor D Back Up'!E1019</f>
        <v>223.38020363058166</v>
      </c>
      <c r="BD67" s="167">
        <f>'Factor D Back Up'!F1019</f>
        <v>17870.416290446534</v>
      </c>
      <c r="BE67" s="184">
        <f>'Factor D Back Up'!G1019</f>
        <v>532.64789999999994</v>
      </c>
      <c r="BF67" s="184">
        <f>'Factor D Back Up'!H1019</f>
        <v>9518639.7092321347</v>
      </c>
      <c r="BG67" s="167">
        <f>'Factor D Back Up'!D1020</f>
        <v>82</v>
      </c>
      <c r="BH67" s="167">
        <f>'Factor D Back Up'!E1020</f>
        <v>227.93574897332837</v>
      </c>
      <c r="BI67" s="167">
        <f>'Factor D Back Up'!F1020</f>
        <v>18690.731415812927</v>
      </c>
      <c r="BJ67" s="184">
        <f>'Factor D Back Up'!G1020</f>
        <v>546.4967453999999</v>
      </c>
      <c r="BK67" s="184">
        <f>'Factor D Back Up'!H1020</f>
        <v>10214423.887887297</v>
      </c>
      <c r="BL67" s="167">
        <f>'Factor D Back Up'!D1021</f>
        <v>83</v>
      </c>
      <c r="BM67" s="167">
        <f>'Factor D Back Up'!E1021</f>
        <v>232.49129431607511</v>
      </c>
      <c r="BN67" s="167">
        <f>'Factor D Back Up'!F1021</f>
        <v>19296.777428234236</v>
      </c>
      <c r="BO67" s="184">
        <f>'Factor D Back Up'!G1021</f>
        <v>560.70566078039985</v>
      </c>
      <c r="BP67" s="184">
        <f>'Factor D Back Up'!H1021</f>
        <v>10819812.338830382</v>
      </c>
      <c r="BQ67" s="167">
        <f>'Factor D Back Up'!D1022</f>
        <v>85</v>
      </c>
      <c r="BR67" s="167">
        <f>'Factor D Back Up'!E1022</f>
        <v>237.04683965882182</v>
      </c>
      <c r="BS67" s="167">
        <f>'Factor D Back Up'!F1022</f>
        <v>20148.981370999856</v>
      </c>
      <c r="BT67" s="184">
        <f>'Factor D Back Up'!G1022</f>
        <v>575.28400796069025</v>
      </c>
      <c r="BU67" s="184">
        <f>'Factor D Back Up'!H1022</f>
        <v>11591386.759434082</v>
      </c>
      <c r="BV67" s="167">
        <f>'Factor D Back Up'!D1023</f>
        <v>86</v>
      </c>
      <c r="BW67" s="167">
        <f>'Factor D Back Up'!E1023</f>
        <v>241.60238500156856</v>
      </c>
      <c r="BX67" s="167">
        <f>'Factor D Back Up'!F1023</f>
        <v>20777.805110134897</v>
      </c>
      <c r="BY67" s="184">
        <f>'Factor D Back Up'!G1023</f>
        <v>590.24139216766821</v>
      </c>
      <c r="BZ67" s="184">
        <f>'Factor D Back Up'!H1023</f>
        <v>12263920.614394512</v>
      </c>
      <c r="CA67" s="86"/>
      <c r="CB67" s="187">
        <f t="shared" si="14"/>
        <v>152618912.91373837</v>
      </c>
      <c r="CC67" s="282">
        <f>+'linked - DO NOT USE or DELETE'!H65+'linked - DO NOT USE or DELETE'!M65+'linked - DO NOT USE or DELETE'!R65</f>
        <v>21537259.93</v>
      </c>
      <c r="CD67" s="281">
        <f t="shared" si="15"/>
        <v>174156172.84373838</v>
      </c>
      <c r="CE67" s="86"/>
      <c r="CF67" s="576">
        <f t="shared" si="16"/>
        <v>174156172.84373838</v>
      </c>
      <c r="CG67" s="86"/>
      <c r="CH67" s="86"/>
      <c r="CI67" s="86"/>
    </row>
    <row r="68" spans="1:87" s="17" customFormat="1" ht="15" customHeight="1" x14ac:dyDescent="0.25">
      <c r="A68" s="81" t="s">
        <v>324</v>
      </c>
      <c r="B68" s="165" t="s">
        <v>138</v>
      </c>
      <c r="C68" s="590" t="s">
        <v>135</v>
      </c>
      <c r="D68" s="167">
        <v>9</v>
      </c>
      <c r="E68" s="167">
        <f t="shared" si="89"/>
        <v>160.11111111111111</v>
      </c>
      <c r="F68" s="167">
        <v>1441</v>
      </c>
      <c r="G68" s="184">
        <f t="shared" si="90"/>
        <v>403</v>
      </c>
      <c r="H68" s="184">
        <v>580723</v>
      </c>
      <c r="I68" s="167">
        <v>7</v>
      </c>
      <c r="J68" s="167">
        <f t="shared" si="91"/>
        <v>216.42857142857142</v>
      </c>
      <c r="K68" s="167">
        <v>1515</v>
      </c>
      <c r="L68" s="184">
        <f t="shared" si="92"/>
        <v>399.51485148514854</v>
      </c>
      <c r="M68" s="184">
        <v>605265</v>
      </c>
      <c r="N68" s="167">
        <v>9</v>
      </c>
      <c r="O68" s="167">
        <f t="shared" si="93"/>
        <v>152</v>
      </c>
      <c r="P68" s="167">
        <v>1368</v>
      </c>
      <c r="Q68" s="184">
        <f t="shared" si="94"/>
        <v>389.75818713450286</v>
      </c>
      <c r="R68" s="184">
        <v>533189.19999999995</v>
      </c>
      <c r="S68" s="167">
        <v>3</v>
      </c>
      <c r="T68" s="167">
        <f t="shared" si="4"/>
        <v>40</v>
      </c>
      <c r="U68" s="167">
        <v>120</v>
      </c>
      <c r="V68" s="184">
        <f t="shared" si="67"/>
        <v>355.60333333333335</v>
      </c>
      <c r="W68" s="184">
        <v>42672.4</v>
      </c>
      <c r="X68" s="167">
        <v>1</v>
      </c>
      <c r="Y68" s="167">
        <f t="shared" si="5"/>
        <v>58</v>
      </c>
      <c r="Z68" s="167">
        <v>58</v>
      </c>
      <c r="AA68" s="184">
        <f t="shared" si="6"/>
        <v>403</v>
      </c>
      <c r="AB68" s="184">
        <v>23374</v>
      </c>
      <c r="AC68" s="167">
        <v>0</v>
      </c>
      <c r="AD68" s="167" t="e">
        <f t="shared" si="7"/>
        <v>#DIV/0!</v>
      </c>
      <c r="AE68" s="167">
        <v>0</v>
      </c>
      <c r="AF68" s="184" t="e">
        <f t="shared" si="8"/>
        <v>#DIV/0!</v>
      </c>
      <c r="AG68" s="184">
        <v>0</v>
      </c>
      <c r="AH68" s="167">
        <v>1</v>
      </c>
      <c r="AI68" s="167">
        <f t="shared" si="9"/>
        <v>12</v>
      </c>
      <c r="AJ68" s="167">
        <v>12</v>
      </c>
      <c r="AK68" s="184">
        <f t="shared" si="68"/>
        <v>563.19999999999993</v>
      </c>
      <c r="AL68" s="184">
        <v>6758.4</v>
      </c>
      <c r="AM68" s="167">
        <v>2</v>
      </c>
      <c r="AN68" s="167">
        <f t="shared" si="10"/>
        <v>169.5</v>
      </c>
      <c r="AO68" s="167">
        <v>339</v>
      </c>
      <c r="AP68" s="184">
        <f t="shared" si="11"/>
        <v>554.89498525073748</v>
      </c>
      <c r="AQ68" s="184">
        <v>188109.4</v>
      </c>
      <c r="AR68" s="167">
        <v>1</v>
      </c>
      <c r="AS68" s="167">
        <f t="shared" si="12"/>
        <v>226</v>
      </c>
      <c r="AT68" s="167">
        <v>226</v>
      </c>
      <c r="AU68" s="184">
        <f t="shared" si="13"/>
        <v>570.74451327433621</v>
      </c>
      <c r="AV68" s="184">
        <v>128988.26</v>
      </c>
      <c r="AW68" s="167">
        <f>'Factor D Back Up'!D1036</f>
        <v>1</v>
      </c>
      <c r="AX68" s="167">
        <f>'Factor D Back Up'!E1036</f>
        <v>98.457451499118164</v>
      </c>
      <c r="AY68" s="167">
        <f>'Factor D Back Up'!F1036</f>
        <v>98.457451499118164</v>
      </c>
      <c r="AZ68" s="184">
        <f>'Factor D Back Up'!G1036</f>
        <v>612.46</v>
      </c>
      <c r="BA68" s="184">
        <f>'Factor D Back Up'!H1036</f>
        <v>60301.250745149911</v>
      </c>
      <c r="BB68" s="167">
        <f>'Factor D Back Up'!D1037</f>
        <v>1</v>
      </c>
      <c r="BC68" s="167">
        <f>'Factor D Back Up'!E1037</f>
        <v>95.170282186948853</v>
      </c>
      <c r="BD68" s="167">
        <f>'Factor D Back Up'!F1037</f>
        <v>95.170282186948853</v>
      </c>
      <c r="BE68" s="184">
        <f>'Factor D Back Up'!G1037</f>
        <v>628.38396</v>
      </c>
      <c r="BF68" s="184">
        <f>'Factor D Back Up'!H1037</f>
        <v>59803.478794952382</v>
      </c>
      <c r="BG68" s="167">
        <f>'Factor D Back Up'!D1038</f>
        <v>1</v>
      </c>
      <c r="BH68" s="167">
        <f>'Factor D Back Up'!E1038</f>
        <v>91.883112874779542</v>
      </c>
      <c r="BI68" s="167">
        <f>'Factor D Back Up'!F1038</f>
        <v>91.883112874779542</v>
      </c>
      <c r="BJ68" s="184">
        <f>'Factor D Back Up'!G1038</f>
        <v>644.72194295999998</v>
      </c>
      <c r="BK68" s="184">
        <f>'Factor D Back Up'!H1038</f>
        <v>59239.059057840852</v>
      </c>
      <c r="BL68" s="167">
        <f>'Factor D Back Up'!D1039</f>
        <v>1</v>
      </c>
      <c r="BM68" s="167">
        <f>'Factor D Back Up'!E1039</f>
        <v>88.595943562610231</v>
      </c>
      <c r="BN68" s="167">
        <f>'Factor D Back Up'!F1039</f>
        <v>88.595943562610231</v>
      </c>
      <c r="BO68" s="184">
        <f>'Factor D Back Up'!G1039</f>
        <v>661.48471347696</v>
      </c>
      <c r="BP68" s="184">
        <f>'Factor D Back Up'!H1039</f>
        <v>58604.862342734144</v>
      </c>
      <c r="BQ68" s="167">
        <f>'Factor D Back Up'!D1040</f>
        <v>1</v>
      </c>
      <c r="BR68" s="167">
        <f>'Factor D Back Up'!E1040</f>
        <v>85.308774250440933</v>
      </c>
      <c r="BS68" s="167">
        <f>'Factor D Back Up'!F1040</f>
        <v>85.308774250440933</v>
      </c>
      <c r="BT68" s="184">
        <f>'Factor D Back Up'!G1040</f>
        <v>678.683316027361</v>
      </c>
      <c r="BU68" s="184">
        <f>'Factor D Back Up'!H1040</f>
        <v>57897.6417945188</v>
      </c>
      <c r="BV68" s="167">
        <f>'Factor D Back Up'!D1041</f>
        <v>1</v>
      </c>
      <c r="BW68" s="167">
        <f>'Factor D Back Up'!E1041</f>
        <v>82.021604938271622</v>
      </c>
      <c r="BX68" s="167">
        <f>'Factor D Back Up'!F1041</f>
        <v>82.021604938271622</v>
      </c>
      <c r="BY68" s="184">
        <f>'Factor D Back Up'!G1041</f>
        <v>696.32908224407242</v>
      </c>
      <c r="BZ68" s="184">
        <f>'Factor D Back Up'!H1041</f>
        <v>57114.028890852554</v>
      </c>
      <c r="CA68" s="77"/>
      <c r="CB68" s="187">
        <f>SUM(BZ68,BU68,BP68,BK68,BF68,BA68,AV68,AQ68,AL68,AG68,AB68,W68)</f>
        <v>742862.78162604873</v>
      </c>
      <c r="CC68" s="29">
        <f>'linked - DO NOT USE or DELETE'!H66+'linked - DO NOT USE or DELETE'!M66+'linked - DO NOT USE or DELETE'!R66</f>
        <v>1719177.2</v>
      </c>
      <c r="CD68" s="281">
        <f t="shared" si="15"/>
        <v>2462039.9816260487</v>
      </c>
      <c r="CE68" s="77"/>
      <c r="CF68" s="576">
        <f t="shared" si="16"/>
        <v>2462039.9816260482</v>
      </c>
      <c r="CG68" s="77"/>
      <c r="CH68" s="77"/>
      <c r="CI68" s="77"/>
    </row>
    <row r="69" spans="1:87" ht="15" customHeight="1" x14ac:dyDescent="0.25">
      <c r="A69" s="81" t="s">
        <v>325</v>
      </c>
      <c r="B69" s="165" t="s">
        <v>138</v>
      </c>
      <c r="C69" s="590" t="s">
        <v>135</v>
      </c>
      <c r="D69" s="167">
        <v>151</v>
      </c>
      <c r="E69" s="167">
        <f t="shared" si="89"/>
        <v>210.27152317880794</v>
      </c>
      <c r="F69" s="167">
        <v>31751</v>
      </c>
      <c r="G69" s="184">
        <f t="shared" si="90"/>
        <v>491.97091115240465</v>
      </c>
      <c r="H69" s="184">
        <v>15620568.4</v>
      </c>
      <c r="I69" s="167">
        <v>141</v>
      </c>
      <c r="J69" s="167">
        <f t="shared" si="91"/>
        <v>250.75886524822695</v>
      </c>
      <c r="K69" s="167">
        <v>35357</v>
      </c>
      <c r="L69" s="184">
        <f t="shared" si="92"/>
        <v>493.09678847187257</v>
      </c>
      <c r="M69" s="184">
        <v>17434423.149999999</v>
      </c>
      <c r="N69" s="167">
        <v>129</v>
      </c>
      <c r="O69" s="167">
        <f t="shared" si="93"/>
        <v>240.86821705426357</v>
      </c>
      <c r="P69" s="167">
        <v>31072</v>
      </c>
      <c r="Q69" s="184">
        <f t="shared" si="94"/>
        <v>492.40511360710605</v>
      </c>
      <c r="R69" s="184">
        <v>15300011.689999999</v>
      </c>
      <c r="S69" s="167">
        <v>100</v>
      </c>
      <c r="T69" s="167">
        <f t="shared" si="4"/>
        <v>203.15</v>
      </c>
      <c r="U69" s="167">
        <v>20315</v>
      </c>
      <c r="V69" s="184">
        <f t="shared" si="67"/>
        <v>497.3579739109033</v>
      </c>
      <c r="W69" s="184">
        <v>10103827.24</v>
      </c>
      <c r="X69" s="167">
        <v>53</v>
      </c>
      <c r="Y69" s="167">
        <f t="shared" si="5"/>
        <v>255.81132075471697</v>
      </c>
      <c r="Z69" s="167">
        <v>13558</v>
      </c>
      <c r="AA69" s="184">
        <f t="shared" si="6"/>
        <v>494.09615430004425</v>
      </c>
      <c r="AB69" s="184">
        <v>6698955.6600000001</v>
      </c>
      <c r="AC69" s="167">
        <v>90</v>
      </c>
      <c r="AD69" s="167">
        <f t="shared" si="7"/>
        <v>157.96666666666667</v>
      </c>
      <c r="AE69" s="167">
        <v>14217</v>
      </c>
      <c r="AF69" s="184">
        <f t="shared" si="8"/>
        <v>572.84731237251185</v>
      </c>
      <c r="AG69" s="184">
        <v>8144170.2400000002</v>
      </c>
      <c r="AH69" s="167">
        <v>94</v>
      </c>
      <c r="AI69" s="167">
        <f t="shared" si="9"/>
        <v>142.39361702127658</v>
      </c>
      <c r="AJ69" s="167">
        <v>13385</v>
      </c>
      <c r="AK69" s="184">
        <f t="shared" si="68"/>
        <v>579.4273343294733</v>
      </c>
      <c r="AL69" s="184">
        <v>7755634.8700000001</v>
      </c>
      <c r="AM69" s="167">
        <v>46</v>
      </c>
      <c r="AN69" s="167">
        <f t="shared" si="10"/>
        <v>213.65217391304347</v>
      </c>
      <c r="AO69" s="167">
        <v>9828</v>
      </c>
      <c r="AP69" s="184">
        <f t="shared" si="11"/>
        <v>618.726103988604</v>
      </c>
      <c r="AQ69" s="184">
        <v>6080840.1500000004</v>
      </c>
      <c r="AR69" s="167">
        <v>54</v>
      </c>
      <c r="AS69" s="167">
        <f t="shared" si="12"/>
        <v>200.85185185185185</v>
      </c>
      <c r="AT69" s="167">
        <v>10846</v>
      </c>
      <c r="AU69" s="184">
        <f t="shared" si="13"/>
        <v>624.15443020468376</v>
      </c>
      <c r="AV69" s="184">
        <v>6769578.9500000002</v>
      </c>
      <c r="AW69" s="167">
        <f>'Factor D Back Up'!D1054</f>
        <v>38</v>
      </c>
      <c r="AX69" s="167">
        <f>'Factor D Back Up'!E1054</f>
        <v>175.81952957270471</v>
      </c>
      <c r="AY69" s="167">
        <f>'Factor D Back Up'!F1054</f>
        <v>6681.1421237627792</v>
      </c>
      <c r="AZ69" s="184">
        <f>'Factor D Back Up'!G1054</f>
        <v>631.67999999999995</v>
      </c>
      <c r="BA69" s="184">
        <f>'Factor D Back Up'!H1054</f>
        <v>4220343.8567384724</v>
      </c>
      <c r="BB69" s="167">
        <f>'Factor D Back Up'!D1055</f>
        <v>40</v>
      </c>
      <c r="BC69" s="167">
        <f>'Factor D Back Up'!E1055</f>
        <v>169.30067469416002</v>
      </c>
      <c r="BD69" s="167">
        <f>'Factor D Back Up'!F1055</f>
        <v>6772.0269877664014</v>
      </c>
      <c r="BE69" s="184">
        <f>'Factor D Back Up'!G1055</f>
        <v>648.10367999999994</v>
      </c>
      <c r="BF69" s="184">
        <f>'Factor D Back Up'!H1055</f>
        <v>4388975.6118307197</v>
      </c>
      <c r="BG69" s="167">
        <f>'Factor D Back Up'!D1056</f>
        <v>40</v>
      </c>
      <c r="BH69" s="167">
        <f>'Factor D Back Up'!E1056</f>
        <v>162.78181981561531</v>
      </c>
      <c r="BI69" s="167">
        <f>'Factor D Back Up'!F1056</f>
        <v>6511.2727926246125</v>
      </c>
      <c r="BJ69" s="184">
        <f>'Factor D Back Up'!G1056</f>
        <v>664.95437567999988</v>
      </c>
      <c r="BK69" s="184">
        <f>'Factor D Back Up'!H1056</f>
        <v>4329699.3347018687</v>
      </c>
      <c r="BL69" s="167">
        <f>'Factor D Back Up'!D1057</f>
        <v>41</v>
      </c>
      <c r="BM69" s="167">
        <f>'Factor D Back Up'!E1057</f>
        <v>156.26296493707059</v>
      </c>
      <c r="BN69" s="167">
        <f>'Factor D Back Up'!F1057</f>
        <v>6406.7815624198938</v>
      </c>
      <c r="BO69" s="184">
        <f>'Factor D Back Up'!G1057</f>
        <v>682.24318944767992</v>
      </c>
      <c r="BP69" s="184">
        <f>'Factor D Back Up'!H1057</f>
        <v>4370983.0872399388</v>
      </c>
      <c r="BQ69" s="167">
        <f>'Factor D Back Up'!D1058</f>
        <v>41</v>
      </c>
      <c r="BR69" s="167">
        <f>'Factor D Back Up'!E1058</f>
        <v>149.74411005852591</v>
      </c>
      <c r="BS69" s="167">
        <f>'Factor D Back Up'!F1058</f>
        <v>6139.5085123995623</v>
      </c>
      <c r="BT69" s="184">
        <f>'Factor D Back Up'!G1058</f>
        <v>699.98151237331956</v>
      </c>
      <c r="BU69" s="184">
        <f>'Factor D Back Up'!H1058</f>
        <v>4297542.453738315</v>
      </c>
      <c r="BV69" s="167">
        <f>'Factor D Back Up'!D1059</f>
        <v>42</v>
      </c>
      <c r="BW69" s="167">
        <f>'Factor D Back Up'!E1059</f>
        <v>143.22525517998122</v>
      </c>
      <c r="BX69" s="167">
        <f>'Factor D Back Up'!F1059</f>
        <v>6015.4607175592109</v>
      </c>
      <c r="BY69" s="184">
        <f>'Factor D Back Up'!G1059</f>
        <v>718.18103169502592</v>
      </c>
      <c r="BZ69" s="184">
        <f>'Factor D Back Up'!H1059</f>
        <v>4320189.7842575749</v>
      </c>
      <c r="CA69" s="86"/>
      <c r="CB69" s="187">
        <f t="shared" si="14"/>
        <v>71480741.238506883</v>
      </c>
      <c r="CC69" s="288">
        <f>'linked - DO NOT USE or DELETE'!H67+'linked - DO NOT USE or DELETE'!M67+'linked - DO NOT USE or DELETE'!R67</f>
        <v>48355003.239999995</v>
      </c>
      <c r="CD69" s="281">
        <f t="shared" si="15"/>
        <v>119835744.47850688</v>
      </c>
      <c r="CE69" s="86"/>
      <c r="CF69" s="576">
        <f t="shared" ref="CF69:CF114" si="95">SUM(H69,M69,R69,W69,AB69,AG69,AL69,AQ69,AV69,BA69,BF69,BK69,BP69,BU69,BZ69)</f>
        <v>119835744.47850691</v>
      </c>
      <c r="CG69" s="86"/>
      <c r="CH69" s="86"/>
      <c r="CI69" s="86"/>
    </row>
    <row r="70" spans="1:87" ht="15" customHeight="1" x14ac:dyDescent="0.25">
      <c r="A70" s="257" t="s">
        <v>304</v>
      </c>
      <c r="B70" s="165" t="s">
        <v>138</v>
      </c>
      <c r="C70" s="590" t="s">
        <v>152</v>
      </c>
      <c r="D70" s="167">
        <v>0</v>
      </c>
      <c r="E70" s="167" t="e">
        <f t="shared" si="89"/>
        <v>#DIV/0!</v>
      </c>
      <c r="F70" s="167">
        <v>0</v>
      </c>
      <c r="G70" s="184" t="e">
        <f t="shared" si="90"/>
        <v>#DIV/0!</v>
      </c>
      <c r="H70" s="184">
        <v>0</v>
      </c>
      <c r="I70" s="167">
        <v>0</v>
      </c>
      <c r="J70" s="167" t="e">
        <f t="shared" si="91"/>
        <v>#DIV/0!</v>
      </c>
      <c r="K70" s="167">
        <v>0</v>
      </c>
      <c r="L70" s="184" t="e">
        <f t="shared" si="92"/>
        <v>#DIV/0!</v>
      </c>
      <c r="M70" s="184">
        <v>0</v>
      </c>
      <c r="N70" s="167">
        <v>0</v>
      </c>
      <c r="O70" s="167" t="e">
        <f t="shared" si="93"/>
        <v>#DIV/0!</v>
      </c>
      <c r="P70" s="167">
        <v>0</v>
      </c>
      <c r="Q70" s="184" t="e">
        <f t="shared" si="94"/>
        <v>#DIV/0!</v>
      </c>
      <c r="R70" s="184">
        <v>0</v>
      </c>
      <c r="S70" s="167">
        <v>0</v>
      </c>
      <c r="T70" s="167" t="e">
        <f t="shared" si="4"/>
        <v>#DIV/0!</v>
      </c>
      <c r="U70" s="167">
        <v>0</v>
      </c>
      <c r="V70" s="184" t="e">
        <f t="shared" ref="V70:V84" si="96">W70/U70</f>
        <v>#DIV/0!</v>
      </c>
      <c r="W70" s="184">
        <v>0</v>
      </c>
      <c r="X70" s="167">
        <v>0</v>
      </c>
      <c r="Y70" s="167" t="e">
        <f t="shared" si="5"/>
        <v>#DIV/0!</v>
      </c>
      <c r="Z70" s="167">
        <v>0</v>
      </c>
      <c r="AA70" s="184" t="e">
        <f t="shared" si="6"/>
        <v>#DIV/0!</v>
      </c>
      <c r="AB70" s="184">
        <v>0</v>
      </c>
      <c r="AC70" s="167">
        <v>0</v>
      </c>
      <c r="AD70" s="167" t="e">
        <f t="shared" si="7"/>
        <v>#DIV/0!</v>
      </c>
      <c r="AE70" s="167">
        <v>0</v>
      </c>
      <c r="AF70" s="184" t="e">
        <f t="shared" si="8"/>
        <v>#DIV/0!</v>
      </c>
      <c r="AG70" s="184">
        <v>0</v>
      </c>
      <c r="AH70" s="167">
        <v>25</v>
      </c>
      <c r="AI70" s="167">
        <f t="shared" si="9"/>
        <v>3366.64</v>
      </c>
      <c r="AJ70" s="167">
        <v>84166</v>
      </c>
      <c r="AK70" s="184">
        <f t="shared" si="68"/>
        <v>6.3308240857353324</v>
      </c>
      <c r="AL70" s="184">
        <v>532840.14</v>
      </c>
      <c r="AM70" s="167">
        <v>35</v>
      </c>
      <c r="AN70" s="167">
        <f t="shared" si="10"/>
        <v>9419.1142857142859</v>
      </c>
      <c r="AO70" s="167">
        <v>329669</v>
      </c>
      <c r="AP70" s="184">
        <f t="shared" si="11"/>
        <v>6.5817860945372475</v>
      </c>
      <c r="AQ70" s="184">
        <v>2169810.84</v>
      </c>
      <c r="AR70" s="167">
        <v>47</v>
      </c>
      <c r="AS70" s="167">
        <f t="shared" si="12"/>
        <v>9380.1489361702133</v>
      </c>
      <c r="AT70" s="167">
        <v>440867</v>
      </c>
      <c r="AU70" s="184">
        <f t="shared" si="13"/>
        <v>6.6215422338256209</v>
      </c>
      <c r="AV70" s="184">
        <v>2919219.46</v>
      </c>
      <c r="AW70" s="167">
        <f>'Factor D Back Up'!D1558</f>
        <v>33</v>
      </c>
      <c r="AX70" s="167">
        <f>'Factor D Back Up'!E1558</f>
        <v>13402.14334346505</v>
      </c>
      <c r="AY70" s="167">
        <f>'Factor D Back Up'!F1558</f>
        <v>442270.73033434665</v>
      </c>
      <c r="AZ70" s="184">
        <f>'Factor D Back Up'!G1558</f>
        <v>6.82</v>
      </c>
      <c r="BA70" s="184">
        <f>'Factor D Back Up'!H1558</f>
        <v>3016286.3808802441</v>
      </c>
      <c r="BB70" s="167">
        <f>'Factor D Back Up'!D1559</f>
        <v>34</v>
      </c>
      <c r="BC70" s="167">
        <f>'Factor D Back Up'!E1559</f>
        <v>16408.897811550156</v>
      </c>
      <c r="BD70" s="167">
        <f>'Factor D Back Up'!F1559</f>
        <v>557902.52559270535</v>
      </c>
      <c r="BE70" s="184">
        <f>'Factor D Back Up'!G1559</f>
        <v>7.01</v>
      </c>
      <c r="BF70" s="184">
        <f>'Factor D Back Up'!H1559</f>
        <v>3910896.7044048645</v>
      </c>
      <c r="BG70" s="167">
        <f>'Factor D Back Up'!D1560</f>
        <v>35</v>
      </c>
      <c r="BH70" s="167">
        <f>'Factor D Back Up'!E1560</f>
        <v>19415.652279635269</v>
      </c>
      <c r="BI70" s="167">
        <f>'Factor D Back Up'!F1560</f>
        <v>679547.82978723443</v>
      </c>
      <c r="BJ70" s="184">
        <f>'Factor D Back Up'!G1560</f>
        <v>7.1922600000000001</v>
      </c>
      <c r="BK70" s="184">
        <f>'Factor D Back Up'!H1560</f>
        <v>4887484.6742655346</v>
      </c>
      <c r="BL70" s="167">
        <f>'Factor D Back Up'!D1561</f>
        <v>36</v>
      </c>
      <c r="BM70" s="167">
        <f>'Factor D Back Up'!E1561</f>
        <v>22422.406747720375</v>
      </c>
      <c r="BN70" s="167">
        <f>'Factor D Back Up'!F1561</f>
        <v>807206.64291793352</v>
      </c>
      <c r="BO70" s="184">
        <f>'Factor D Back Up'!G1561</f>
        <v>7.3792587599999999</v>
      </c>
      <c r="BP70" s="184">
        <f>'Factor D Back Up'!H1561</f>
        <v>5956586.6908823531</v>
      </c>
      <c r="BQ70" s="167">
        <f>'Factor D Back Up'!D1562</f>
        <v>36</v>
      </c>
      <c r="BR70" s="167">
        <f>'Factor D Back Up'!E1562</f>
        <v>23360</v>
      </c>
      <c r="BS70" s="167">
        <f>'Factor D Back Up'!F1562</f>
        <v>840960</v>
      </c>
      <c r="BT70" s="184">
        <f>'Factor D Back Up'!G1562</f>
        <v>7.5711194877599999</v>
      </c>
      <c r="BU70" s="184">
        <f>'Factor D Back Up'!H1562</f>
        <v>6367008.6444266494</v>
      </c>
      <c r="BV70" s="167">
        <f>'Factor D Back Up'!D1563</f>
        <v>37</v>
      </c>
      <c r="BW70" s="167">
        <f>'Factor D Back Up'!E1563</f>
        <v>23360</v>
      </c>
      <c r="BX70" s="167">
        <f>'Factor D Back Up'!F1563</f>
        <v>864320</v>
      </c>
      <c r="BY70" s="184">
        <f>'Factor D Back Up'!G1563</f>
        <v>7.7679685944417596</v>
      </c>
      <c r="BZ70" s="184">
        <f>'Factor D Back Up'!H1563</f>
        <v>6714010.615547902</v>
      </c>
      <c r="CA70" s="86"/>
      <c r="CB70" s="187">
        <f t="shared" si="14"/>
        <v>36474144.150407538</v>
      </c>
      <c r="CC70" s="282"/>
      <c r="CD70" s="281">
        <f t="shared" si="15"/>
        <v>36474144.150407538</v>
      </c>
      <c r="CE70" s="86"/>
      <c r="CF70" s="576">
        <f t="shared" si="95"/>
        <v>36474144.150407553</v>
      </c>
      <c r="CG70" s="86"/>
      <c r="CH70" s="86"/>
      <c r="CI70" s="86"/>
    </row>
    <row r="71" spans="1:87" ht="15" customHeight="1" x14ac:dyDescent="0.25">
      <c r="A71" s="83" t="s">
        <v>303</v>
      </c>
      <c r="B71" s="165" t="s">
        <v>138</v>
      </c>
      <c r="C71" s="590" t="s">
        <v>135</v>
      </c>
      <c r="D71" s="167">
        <v>0</v>
      </c>
      <c r="E71" s="167" t="e">
        <f t="shared" si="89"/>
        <v>#DIV/0!</v>
      </c>
      <c r="F71" s="167">
        <v>0</v>
      </c>
      <c r="G71" s="184" t="e">
        <f t="shared" si="90"/>
        <v>#DIV/0!</v>
      </c>
      <c r="H71" s="184">
        <v>0</v>
      </c>
      <c r="I71" s="167">
        <v>0</v>
      </c>
      <c r="J71" s="167" t="e">
        <f t="shared" si="91"/>
        <v>#DIV/0!</v>
      </c>
      <c r="K71" s="167">
        <v>0</v>
      </c>
      <c r="L71" s="184" t="e">
        <f t="shared" si="92"/>
        <v>#DIV/0!</v>
      </c>
      <c r="M71" s="184">
        <v>0</v>
      </c>
      <c r="N71" s="167">
        <v>0</v>
      </c>
      <c r="O71" s="167" t="e">
        <f t="shared" si="93"/>
        <v>#DIV/0!</v>
      </c>
      <c r="P71" s="167">
        <v>0</v>
      </c>
      <c r="Q71" s="184" t="e">
        <f t="shared" si="94"/>
        <v>#DIV/0!</v>
      </c>
      <c r="R71" s="184">
        <v>0</v>
      </c>
      <c r="S71" s="167">
        <v>0</v>
      </c>
      <c r="T71" s="167" t="e">
        <f t="shared" si="4"/>
        <v>#DIV/0!</v>
      </c>
      <c r="U71" s="167">
        <v>0</v>
      </c>
      <c r="V71" s="184" t="e">
        <f t="shared" si="96"/>
        <v>#DIV/0!</v>
      </c>
      <c r="W71" s="184">
        <v>0</v>
      </c>
      <c r="X71" s="167">
        <v>0</v>
      </c>
      <c r="Y71" s="167" t="e">
        <f t="shared" si="5"/>
        <v>#DIV/0!</v>
      </c>
      <c r="Z71" s="167">
        <v>0</v>
      </c>
      <c r="AA71" s="184" t="e">
        <f t="shared" si="6"/>
        <v>#DIV/0!</v>
      </c>
      <c r="AB71" s="184">
        <v>0</v>
      </c>
      <c r="AC71" s="167">
        <v>0</v>
      </c>
      <c r="AD71" s="167" t="e">
        <f t="shared" si="7"/>
        <v>#DIV/0!</v>
      </c>
      <c r="AE71" s="167">
        <v>0</v>
      </c>
      <c r="AF71" s="184" t="e">
        <f t="shared" si="8"/>
        <v>#DIV/0!</v>
      </c>
      <c r="AG71" s="184">
        <v>0</v>
      </c>
      <c r="AH71" s="167">
        <v>1</v>
      </c>
      <c r="AI71" s="167">
        <f t="shared" si="9"/>
        <v>2</v>
      </c>
      <c r="AJ71" s="167">
        <v>2</v>
      </c>
      <c r="AK71" s="184">
        <f t="shared" si="68"/>
        <v>251</v>
      </c>
      <c r="AL71" s="184">
        <v>502</v>
      </c>
      <c r="AM71" s="167">
        <v>1</v>
      </c>
      <c r="AN71" s="167">
        <f t="shared" si="10"/>
        <v>5</v>
      </c>
      <c r="AO71" s="167">
        <v>5</v>
      </c>
      <c r="AP71" s="184">
        <f t="shared" si="11"/>
        <v>276.37</v>
      </c>
      <c r="AQ71" s="184">
        <v>1381.85</v>
      </c>
      <c r="AR71" s="167">
        <v>0</v>
      </c>
      <c r="AS71" s="167" t="e">
        <f t="shared" si="12"/>
        <v>#DIV/0!</v>
      </c>
      <c r="AT71" s="167">
        <v>0</v>
      </c>
      <c r="AU71" s="184" t="e">
        <f t="shared" si="13"/>
        <v>#DIV/0!</v>
      </c>
      <c r="AV71" s="184">
        <v>0</v>
      </c>
      <c r="AW71" s="167">
        <f>'Factor D Back Up'!D1324</f>
        <v>1</v>
      </c>
      <c r="AX71" s="167">
        <f>'Factor D Back Up'!E1324</f>
        <v>11</v>
      </c>
      <c r="AY71" s="167">
        <f>'Factor D Back Up'!F1324</f>
        <v>11</v>
      </c>
      <c r="AZ71" s="184">
        <f>'Factor D Back Up'!G1324</f>
        <v>315.35000000000002</v>
      </c>
      <c r="BA71" s="184">
        <f>'Factor D Back Up'!H1324</f>
        <v>3468.8500000000004</v>
      </c>
      <c r="BB71" s="167">
        <f>'Factor D Back Up'!D1325</f>
        <v>1</v>
      </c>
      <c r="BC71" s="167">
        <f>'Factor D Back Up'!E1325</f>
        <v>14</v>
      </c>
      <c r="BD71" s="167">
        <f>'Factor D Back Up'!F1325</f>
        <v>14</v>
      </c>
      <c r="BE71" s="184">
        <f>'Factor D Back Up'!G1325</f>
        <v>323.54910000000001</v>
      </c>
      <c r="BF71" s="184">
        <f>'Factor D Back Up'!H1325</f>
        <v>4529.6873999999998</v>
      </c>
      <c r="BG71" s="167">
        <f>'Factor D Back Up'!D1326</f>
        <v>1</v>
      </c>
      <c r="BH71" s="167">
        <f>'Factor D Back Up'!E1326</f>
        <v>17</v>
      </c>
      <c r="BI71" s="167">
        <f>'Factor D Back Up'!F1326</f>
        <v>17</v>
      </c>
      <c r="BJ71" s="184">
        <f>'Factor D Back Up'!G1326</f>
        <v>331.96137659999999</v>
      </c>
      <c r="BK71" s="184">
        <f>'Factor D Back Up'!H1326</f>
        <v>5643.3434022000001</v>
      </c>
      <c r="BL71" s="167">
        <f>'Factor D Back Up'!D1327</f>
        <v>1</v>
      </c>
      <c r="BM71" s="167">
        <f>'Factor D Back Up'!E1327</f>
        <v>20</v>
      </c>
      <c r="BN71" s="167">
        <f>'Factor D Back Up'!F1327</f>
        <v>20</v>
      </c>
      <c r="BO71" s="184">
        <f>'Factor D Back Up'!G1327</f>
        <v>340.59237239160001</v>
      </c>
      <c r="BP71" s="184">
        <f>'Factor D Back Up'!H1327</f>
        <v>6811.8474478320004</v>
      </c>
      <c r="BQ71" s="167">
        <f>'Factor D Back Up'!D1328</f>
        <v>1</v>
      </c>
      <c r="BR71" s="167">
        <f>'Factor D Back Up'!E1328</f>
        <v>23</v>
      </c>
      <c r="BS71" s="167">
        <f>'Factor D Back Up'!F1328</f>
        <v>23</v>
      </c>
      <c r="BT71" s="184">
        <f>'Factor D Back Up'!G1328</f>
        <v>349.4477740737816</v>
      </c>
      <c r="BU71" s="184">
        <f>'Factor D Back Up'!H1328</f>
        <v>8037.2988036969764</v>
      </c>
      <c r="BV71" s="167">
        <f>'Factor D Back Up'!D1329</f>
        <v>1</v>
      </c>
      <c r="BW71" s="167">
        <f>'Factor D Back Up'!E1329</f>
        <v>26</v>
      </c>
      <c r="BX71" s="167">
        <f>'Factor D Back Up'!F1329</f>
        <v>26</v>
      </c>
      <c r="BY71" s="184">
        <f>'Factor D Back Up'!G1329</f>
        <v>358.5334161996999</v>
      </c>
      <c r="BZ71" s="184">
        <f>'Factor D Back Up'!H1329</f>
        <v>9321.8688211921981</v>
      </c>
      <c r="CA71" s="86"/>
      <c r="CB71" s="187">
        <f t="shared" si="14"/>
        <v>39696.745874921173</v>
      </c>
      <c r="CC71" s="282"/>
      <c r="CD71" s="281">
        <f t="shared" si="15"/>
        <v>39696.745874921173</v>
      </c>
      <c r="CE71" s="86"/>
      <c r="CF71" s="576">
        <f t="shared" si="95"/>
        <v>39696.745874921173</v>
      </c>
      <c r="CG71" s="86"/>
      <c r="CH71" s="86"/>
      <c r="CI71" s="86"/>
    </row>
    <row r="72" spans="1:87" ht="15" customHeight="1" x14ac:dyDescent="0.25">
      <c r="A72" s="83" t="s">
        <v>296</v>
      </c>
      <c r="B72" s="165" t="s">
        <v>138</v>
      </c>
      <c r="C72" s="590" t="s">
        <v>135</v>
      </c>
      <c r="D72" s="167">
        <v>0</v>
      </c>
      <c r="E72" s="167" t="e">
        <f t="shared" si="89"/>
        <v>#DIV/0!</v>
      </c>
      <c r="F72" s="167">
        <v>0</v>
      </c>
      <c r="G72" s="184" t="e">
        <f t="shared" si="90"/>
        <v>#DIV/0!</v>
      </c>
      <c r="H72" s="184">
        <v>0</v>
      </c>
      <c r="I72" s="167">
        <v>0</v>
      </c>
      <c r="J72" s="167" t="e">
        <f t="shared" si="91"/>
        <v>#DIV/0!</v>
      </c>
      <c r="K72" s="167">
        <v>0</v>
      </c>
      <c r="L72" s="184" t="e">
        <f t="shared" si="92"/>
        <v>#DIV/0!</v>
      </c>
      <c r="M72" s="184">
        <v>0</v>
      </c>
      <c r="N72" s="167">
        <v>0</v>
      </c>
      <c r="O72" s="167" t="e">
        <f t="shared" si="93"/>
        <v>#DIV/0!</v>
      </c>
      <c r="P72" s="167">
        <v>0</v>
      </c>
      <c r="Q72" s="184" t="e">
        <f t="shared" si="94"/>
        <v>#DIV/0!</v>
      </c>
      <c r="R72" s="184">
        <v>0</v>
      </c>
      <c r="S72" s="167">
        <v>0</v>
      </c>
      <c r="T72" s="167" t="e">
        <f t="shared" si="4"/>
        <v>#DIV/0!</v>
      </c>
      <c r="U72" s="167">
        <v>0</v>
      </c>
      <c r="V72" s="184" t="e">
        <f t="shared" si="96"/>
        <v>#DIV/0!</v>
      </c>
      <c r="W72" s="184">
        <v>0</v>
      </c>
      <c r="X72" s="167">
        <v>0</v>
      </c>
      <c r="Y72" s="167" t="e">
        <f t="shared" si="5"/>
        <v>#DIV/0!</v>
      </c>
      <c r="Z72" s="167">
        <v>0</v>
      </c>
      <c r="AA72" s="184" t="e">
        <f t="shared" si="6"/>
        <v>#DIV/0!</v>
      </c>
      <c r="AB72" s="184">
        <v>0</v>
      </c>
      <c r="AC72" s="167">
        <v>0</v>
      </c>
      <c r="AD72" s="167" t="e">
        <f t="shared" si="7"/>
        <v>#DIV/0!</v>
      </c>
      <c r="AE72" s="167">
        <v>0</v>
      </c>
      <c r="AF72" s="184" t="e">
        <f t="shared" si="8"/>
        <v>#DIV/0!</v>
      </c>
      <c r="AG72" s="184">
        <v>0</v>
      </c>
      <c r="AH72" s="167">
        <v>11</v>
      </c>
      <c r="AI72" s="167">
        <f t="shared" si="9"/>
        <v>129.09090909090909</v>
      </c>
      <c r="AJ72" s="167">
        <v>1420</v>
      </c>
      <c r="AK72" s="184">
        <f t="shared" si="68"/>
        <v>281.25847887323943</v>
      </c>
      <c r="AL72" s="184">
        <v>399387.04</v>
      </c>
      <c r="AM72" s="167">
        <v>11</v>
      </c>
      <c r="AN72" s="167">
        <f t="shared" si="10"/>
        <v>308.45454545454544</v>
      </c>
      <c r="AO72" s="167">
        <v>3393</v>
      </c>
      <c r="AP72" s="184">
        <f t="shared" si="11"/>
        <v>290.99540229885059</v>
      </c>
      <c r="AQ72" s="184">
        <v>987347.4</v>
      </c>
      <c r="AR72" s="167">
        <f>10+3</f>
        <v>13</v>
      </c>
      <c r="AS72" s="167">
        <f t="shared" si="12"/>
        <v>278.92307692307691</v>
      </c>
      <c r="AT72" s="167">
        <f>2843+783</f>
        <v>3626</v>
      </c>
      <c r="AU72" s="184">
        <f t="shared" si="13"/>
        <v>306.75887203530061</v>
      </c>
      <c r="AV72" s="184">
        <f>248957.76+863349.91</f>
        <v>1112307.67</v>
      </c>
      <c r="AW72" s="167">
        <f>'Factor D Back Up'!D1342</f>
        <v>9</v>
      </c>
      <c r="AX72" s="167">
        <f>'Factor D Back Up'!E1342</f>
        <v>227.04069599788619</v>
      </c>
      <c r="AY72" s="167">
        <f>'Factor D Back Up'!F1342</f>
        <v>2043.3662639809756</v>
      </c>
      <c r="AZ72" s="184">
        <f>'Factor D Back Up'!G1342</f>
        <v>325.7</v>
      </c>
      <c r="BA72" s="184">
        <f>'Factor D Back Up'!H1342</f>
        <v>665524.3921786038</v>
      </c>
      <c r="BB72" s="167">
        <f>'Factor D Back Up'!D1343</f>
        <v>9</v>
      </c>
      <c r="BC72" s="167">
        <f>'Factor D Back Up'!E1343</f>
        <v>230.43636575414749</v>
      </c>
      <c r="BD72" s="167">
        <f>'Factor D Back Up'!F1343</f>
        <v>2073.9272917873272</v>
      </c>
      <c r="BE72" s="184">
        <f>'Factor D Back Up'!G1343</f>
        <v>334.16820000000001</v>
      </c>
      <c r="BF72" s="184">
        <f>'Factor D Back Up'!H1343</f>
        <v>693040.55002744601</v>
      </c>
      <c r="BG72" s="167">
        <f>'Factor D Back Up'!D1344</f>
        <v>10</v>
      </c>
      <c r="BH72" s="167">
        <f>'Factor D Back Up'!E1344</f>
        <v>233.83203551040879</v>
      </c>
      <c r="BI72" s="167">
        <f>'Factor D Back Up'!F1344</f>
        <v>2338.3203551040879</v>
      </c>
      <c r="BJ72" s="184">
        <f>'Factor D Back Up'!G1344</f>
        <v>342.85657320000001</v>
      </c>
      <c r="BK72" s="184">
        <f>'Factor D Back Up'!H1344</f>
        <v>801708.50399479468</v>
      </c>
      <c r="BL72" s="167">
        <f>'Factor D Back Up'!D1345</f>
        <v>10</v>
      </c>
      <c r="BM72" s="167">
        <f>'Factor D Back Up'!E1345</f>
        <v>237.22770526667011</v>
      </c>
      <c r="BN72" s="167">
        <f>'Factor D Back Up'!F1345</f>
        <v>2372.2770526667009</v>
      </c>
      <c r="BO72" s="184">
        <f>'Factor D Back Up'!G1345</f>
        <v>351.77084410320003</v>
      </c>
      <c r="BP72" s="184">
        <f>'Factor D Back Up'!H1345</f>
        <v>834497.90126321686</v>
      </c>
      <c r="BQ72" s="167">
        <f>'Factor D Back Up'!D1346</f>
        <v>10</v>
      </c>
      <c r="BR72" s="167">
        <f>'Factor D Back Up'!E1346</f>
        <v>240.62337502293141</v>
      </c>
      <c r="BS72" s="167">
        <f>'Factor D Back Up'!F1346</f>
        <v>2406.233750229314</v>
      </c>
      <c r="BT72" s="184">
        <f>'Factor D Back Up'!G1346</f>
        <v>360.91688604988326</v>
      </c>
      <c r="BU72" s="184">
        <f>'Factor D Back Up'!H1346</f>
        <v>868450.39224089659</v>
      </c>
      <c r="BV72" s="167">
        <f>'Factor D Back Up'!D1347</f>
        <v>10</v>
      </c>
      <c r="BW72" s="167">
        <f>'Factor D Back Up'!E1347</f>
        <v>244.01904477919271</v>
      </c>
      <c r="BX72" s="167">
        <f>'Factor D Back Up'!F1347</f>
        <v>2440.190447791927</v>
      </c>
      <c r="BY72" s="184">
        <f>'Factor D Back Up'!G1347</f>
        <v>370.30072508718024</v>
      </c>
      <c r="BZ72" s="184">
        <f>'Factor D Back Up'!H1347</f>
        <v>903604.2921681616</v>
      </c>
      <c r="CA72" s="86"/>
      <c r="CB72" s="187">
        <f t="shared" si="14"/>
        <v>7265868.1418731194</v>
      </c>
      <c r="CC72" s="282"/>
      <c r="CD72" s="281">
        <f t="shared" si="15"/>
        <v>7265868.1418731194</v>
      </c>
      <c r="CE72" s="86"/>
      <c r="CF72" s="576">
        <f t="shared" si="95"/>
        <v>7265868.1418731194</v>
      </c>
      <c r="CG72" s="86"/>
      <c r="CH72" s="86"/>
      <c r="CI72" s="86"/>
    </row>
    <row r="73" spans="1:87" ht="15" customHeight="1" x14ac:dyDescent="0.25">
      <c r="A73" s="83" t="s">
        <v>305</v>
      </c>
      <c r="B73" s="165" t="s">
        <v>138</v>
      </c>
      <c r="C73" s="590" t="s">
        <v>135</v>
      </c>
      <c r="D73" s="167">
        <v>0</v>
      </c>
      <c r="E73" s="167" t="e">
        <f t="shared" si="89"/>
        <v>#DIV/0!</v>
      </c>
      <c r="F73" s="167">
        <v>0</v>
      </c>
      <c r="G73" s="184" t="e">
        <f t="shared" si="90"/>
        <v>#DIV/0!</v>
      </c>
      <c r="H73" s="184">
        <v>0</v>
      </c>
      <c r="I73" s="167">
        <v>0</v>
      </c>
      <c r="J73" s="167" t="e">
        <f t="shared" si="91"/>
        <v>#DIV/0!</v>
      </c>
      <c r="K73" s="167">
        <v>0</v>
      </c>
      <c r="L73" s="184" t="e">
        <f t="shared" si="92"/>
        <v>#DIV/0!</v>
      </c>
      <c r="M73" s="184">
        <v>0</v>
      </c>
      <c r="N73" s="167">
        <v>0</v>
      </c>
      <c r="O73" s="167" t="e">
        <f t="shared" si="93"/>
        <v>#DIV/0!</v>
      </c>
      <c r="P73" s="167">
        <v>0</v>
      </c>
      <c r="Q73" s="184" t="e">
        <f t="shared" si="94"/>
        <v>#DIV/0!</v>
      </c>
      <c r="R73" s="184">
        <v>0</v>
      </c>
      <c r="S73" s="167">
        <v>0</v>
      </c>
      <c r="T73" s="167" t="e">
        <f t="shared" ref="T73:T84" si="97">U73/S73</f>
        <v>#DIV/0!</v>
      </c>
      <c r="U73" s="167">
        <v>0</v>
      </c>
      <c r="V73" s="184" t="e">
        <f t="shared" si="96"/>
        <v>#DIV/0!</v>
      </c>
      <c r="W73" s="184">
        <v>0</v>
      </c>
      <c r="X73" s="167">
        <v>0</v>
      </c>
      <c r="Y73" s="167" t="e">
        <f t="shared" ref="Y73:Y84" si="98">Z73/X73</f>
        <v>#DIV/0!</v>
      </c>
      <c r="Z73" s="167">
        <v>0</v>
      </c>
      <c r="AA73" s="184" t="e">
        <f t="shared" ref="AA73:AA84" si="99">AB73/Z73</f>
        <v>#DIV/0!</v>
      </c>
      <c r="AB73" s="184">
        <v>0</v>
      </c>
      <c r="AC73" s="167">
        <v>0</v>
      </c>
      <c r="AD73" s="167" t="e">
        <f t="shared" ref="AD73:AD84" si="100">AE73/AC73</f>
        <v>#DIV/0!</v>
      </c>
      <c r="AE73" s="167">
        <v>0</v>
      </c>
      <c r="AF73" s="184" t="e">
        <f t="shared" ref="AF73:AF84" si="101">AG73/AE73</f>
        <v>#DIV/0!</v>
      </c>
      <c r="AG73" s="184">
        <v>0</v>
      </c>
      <c r="AH73" s="167">
        <v>0</v>
      </c>
      <c r="AI73" s="167" t="e">
        <f t="shared" ref="AI73:AI114" si="102">AJ73/AH73</f>
        <v>#DIV/0!</v>
      </c>
      <c r="AJ73" s="167">
        <v>0</v>
      </c>
      <c r="AK73" s="184" t="e">
        <f t="shared" si="68"/>
        <v>#DIV/0!</v>
      </c>
      <c r="AL73" s="184">
        <v>0</v>
      </c>
      <c r="AM73" s="167">
        <v>0</v>
      </c>
      <c r="AN73" s="167" t="e">
        <f t="shared" ref="AN73:AN114" si="103">AO73/AM73</f>
        <v>#DIV/0!</v>
      </c>
      <c r="AO73" s="167">
        <v>0</v>
      </c>
      <c r="AP73" s="184" t="e">
        <f t="shared" ref="AP73:AP114" si="104">AQ73/AO73</f>
        <v>#DIV/0!</v>
      </c>
      <c r="AQ73" s="184">
        <v>0</v>
      </c>
      <c r="AR73" s="167">
        <v>0</v>
      </c>
      <c r="AS73" s="167" t="e">
        <f t="shared" ref="AS73:AS114" si="105">AT73/AR73</f>
        <v>#DIV/0!</v>
      </c>
      <c r="AT73" s="167">
        <v>0</v>
      </c>
      <c r="AU73" s="184" t="e">
        <f t="shared" ref="AU73:AU114" si="106">AV73/AT73</f>
        <v>#DIV/0!</v>
      </c>
      <c r="AV73" s="184">
        <v>0</v>
      </c>
      <c r="AW73" s="167">
        <f>'Factor D Back Up'!D1360</f>
        <v>1</v>
      </c>
      <c r="AX73" s="167">
        <f>'Factor D Back Up'!E1360</f>
        <v>202.38095238095241</v>
      </c>
      <c r="AY73" s="167">
        <f>'Factor D Back Up'!F1360</f>
        <v>202.38095238095241</v>
      </c>
      <c r="AZ73" s="184">
        <f>'Factor D Back Up'!G1360</f>
        <v>411.14</v>
      </c>
      <c r="BA73" s="184">
        <f>'Factor D Back Up'!H1360</f>
        <v>83206.904761904763</v>
      </c>
      <c r="BB73" s="167">
        <f>'Factor D Back Up'!D1361</f>
        <v>1</v>
      </c>
      <c r="BC73" s="167">
        <f>'Factor D Back Up'!E1361</f>
        <v>214.59404761904767</v>
      </c>
      <c r="BD73" s="167">
        <f>'Factor D Back Up'!F1361</f>
        <v>214.59404761904767</v>
      </c>
      <c r="BE73" s="184">
        <f>'Factor D Back Up'!G1361</f>
        <v>421.82963999999998</v>
      </c>
      <c r="BF73" s="184">
        <f>'Factor D Back Up'!H1361</f>
        <v>90522.129853285733</v>
      </c>
      <c r="BG73" s="167">
        <f>'Factor D Back Up'!D1362</f>
        <v>1</v>
      </c>
      <c r="BH73" s="167">
        <f>'Factor D Back Up'!E1362</f>
        <v>226.80714285714288</v>
      </c>
      <c r="BI73" s="167">
        <f>'Factor D Back Up'!F1362</f>
        <v>226.80714285714288</v>
      </c>
      <c r="BJ73" s="184">
        <f>'Factor D Back Up'!G1362</f>
        <v>432.79721064</v>
      </c>
      <c r="BK73" s="184">
        <f>'Factor D Back Up'!H1362</f>
        <v>98161.498781799441</v>
      </c>
      <c r="BL73" s="167">
        <f>'Factor D Back Up'!D1363</f>
        <v>1</v>
      </c>
      <c r="BM73" s="167">
        <f>'Factor D Back Up'!E1363</f>
        <v>239.02023809523814</v>
      </c>
      <c r="BN73" s="167">
        <f>'Factor D Back Up'!F1363</f>
        <v>239.02023809523814</v>
      </c>
      <c r="BO73" s="184">
        <f>'Factor D Back Up'!G1363</f>
        <v>444.04993811664002</v>
      </c>
      <c r="BP73" s="184">
        <f>'Factor D Back Up'!H1363</f>
        <v>106136.92193481507</v>
      </c>
      <c r="BQ73" s="167">
        <f>'Factor D Back Up'!D1364</f>
        <v>1</v>
      </c>
      <c r="BR73" s="167">
        <f>'Factor D Back Up'!E1364</f>
        <v>251.23333333333341</v>
      </c>
      <c r="BS73" s="167">
        <f>'Factor D Back Up'!F1364</f>
        <v>251.23333333333341</v>
      </c>
      <c r="BT73" s="184">
        <f>'Factor D Back Up'!G1364</f>
        <v>455.59523650767267</v>
      </c>
      <c r="BU73" s="184">
        <f>'Factor D Back Up'!H1364</f>
        <v>114460.709918611</v>
      </c>
      <c r="BV73" s="167">
        <f>'Factor D Back Up'!D1365</f>
        <v>1</v>
      </c>
      <c r="BW73" s="167">
        <f>'Factor D Back Up'!E1365</f>
        <v>263.44642857142861</v>
      </c>
      <c r="BX73" s="167">
        <f>'Factor D Back Up'!F1365</f>
        <v>263.44642857142861</v>
      </c>
      <c r="BY73" s="184">
        <f>'Factor D Back Up'!G1365</f>
        <v>467.44071265687217</v>
      </c>
      <c r="BZ73" s="184">
        <f>'Factor D Back Up'!H1365</f>
        <v>123145.58631833635</v>
      </c>
      <c r="CA73" s="86"/>
      <c r="CB73" s="187">
        <f t="shared" ref="CB73:CB114" si="107">SUM(BZ73,BU73,BP73,BK73,BF73,BA73,AV73,AQ73,AL73,AG73,AB73,W73)</f>
        <v>615633.75156875234</v>
      </c>
      <c r="CC73" s="282"/>
      <c r="CD73" s="281">
        <f t="shared" ref="CD73:CD114" si="108">CB73+CC73</f>
        <v>615633.75156875234</v>
      </c>
      <c r="CE73" s="86"/>
      <c r="CF73" s="576">
        <f t="shared" si="95"/>
        <v>615633.75156875234</v>
      </c>
      <c r="CG73" s="86"/>
      <c r="CH73" s="86"/>
      <c r="CI73" s="86"/>
    </row>
    <row r="74" spans="1:87" ht="15" customHeight="1" x14ac:dyDescent="0.25">
      <c r="A74" s="83" t="s">
        <v>306</v>
      </c>
      <c r="B74" s="165" t="s">
        <v>138</v>
      </c>
      <c r="C74" s="590" t="s">
        <v>135</v>
      </c>
      <c r="D74" s="167">
        <v>0</v>
      </c>
      <c r="E74" s="167" t="e">
        <f t="shared" si="89"/>
        <v>#DIV/0!</v>
      </c>
      <c r="F74" s="167">
        <v>0</v>
      </c>
      <c r="G74" s="184" t="e">
        <f t="shared" si="90"/>
        <v>#DIV/0!</v>
      </c>
      <c r="H74" s="184">
        <v>0</v>
      </c>
      <c r="I74" s="167">
        <v>0</v>
      </c>
      <c r="J74" s="167" t="e">
        <f t="shared" si="91"/>
        <v>#DIV/0!</v>
      </c>
      <c r="K74" s="167">
        <v>0</v>
      </c>
      <c r="L74" s="184" t="e">
        <f t="shared" si="92"/>
        <v>#DIV/0!</v>
      </c>
      <c r="M74" s="184">
        <v>0</v>
      </c>
      <c r="N74" s="167">
        <v>0</v>
      </c>
      <c r="O74" s="167" t="e">
        <f t="shared" si="93"/>
        <v>#DIV/0!</v>
      </c>
      <c r="P74" s="167">
        <v>0</v>
      </c>
      <c r="Q74" s="184" t="e">
        <f t="shared" si="94"/>
        <v>#DIV/0!</v>
      </c>
      <c r="R74" s="184">
        <v>0</v>
      </c>
      <c r="S74" s="167">
        <v>0</v>
      </c>
      <c r="T74" s="167" t="e">
        <f t="shared" si="97"/>
        <v>#DIV/0!</v>
      </c>
      <c r="U74" s="167">
        <v>0</v>
      </c>
      <c r="V74" s="184" t="e">
        <f t="shared" si="96"/>
        <v>#DIV/0!</v>
      </c>
      <c r="W74" s="184">
        <v>0</v>
      </c>
      <c r="X74" s="167">
        <v>0</v>
      </c>
      <c r="Y74" s="167" t="e">
        <f t="shared" si="98"/>
        <v>#DIV/0!</v>
      </c>
      <c r="Z74" s="167">
        <v>0</v>
      </c>
      <c r="AA74" s="184" t="e">
        <f t="shared" si="99"/>
        <v>#DIV/0!</v>
      </c>
      <c r="AB74" s="184">
        <v>0</v>
      </c>
      <c r="AC74" s="167">
        <v>0</v>
      </c>
      <c r="AD74" s="167" t="e">
        <f t="shared" si="100"/>
        <v>#DIV/0!</v>
      </c>
      <c r="AE74" s="167">
        <v>0</v>
      </c>
      <c r="AF74" s="184" t="e">
        <f t="shared" si="101"/>
        <v>#DIV/0!</v>
      </c>
      <c r="AG74" s="184">
        <v>0</v>
      </c>
      <c r="AH74" s="167">
        <v>1</v>
      </c>
      <c r="AI74" s="167">
        <f t="shared" si="102"/>
        <v>43</v>
      </c>
      <c r="AJ74" s="167">
        <v>43</v>
      </c>
      <c r="AK74" s="184">
        <f t="shared" si="68"/>
        <v>359.40000000000003</v>
      </c>
      <c r="AL74" s="184">
        <v>15454.2</v>
      </c>
      <c r="AM74" s="167">
        <v>2</v>
      </c>
      <c r="AN74" s="167">
        <f t="shared" si="103"/>
        <v>63.5</v>
      </c>
      <c r="AO74" s="167">
        <v>127</v>
      </c>
      <c r="AP74" s="184">
        <f t="shared" si="104"/>
        <v>359.40000000000003</v>
      </c>
      <c r="AQ74" s="184">
        <v>45643.8</v>
      </c>
      <c r="AR74" s="167">
        <v>3</v>
      </c>
      <c r="AS74" s="167">
        <f t="shared" si="105"/>
        <v>4</v>
      </c>
      <c r="AT74" s="167">
        <v>12</v>
      </c>
      <c r="AU74" s="184">
        <f t="shared" si="106"/>
        <v>418.47</v>
      </c>
      <c r="AV74" s="184">
        <v>5021.6400000000003</v>
      </c>
      <c r="AW74" s="167">
        <f>'Factor D Back Up'!D1378</f>
        <v>2</v>
      </c>
      <c r="AX74" s="167">
        <f>'Factor D Back Up'!E1378</f>
        <v>104.5</v>
      </c>
      <c r="AY74" s="167">
        <f>'Factor D Back Up'!F1378</f>
        <v>209</v>
      </c>
      <c r="AZ74" s="184">
        <f>'Factor D Back Up'!G1378</f>
        <v>421.49</v>
      </c>
      <c r="BA74" s="184">
        <f>'Factor D Back Up'!H1378</f>
        <v>88091.41</v>
      </c>
      <c r="BB74" s="167">
        <f>'Factor D Back Up'!D1379</f>
        <v>2</v>
      </c>
      <c r="BC74" s="167">
        <f>'Factor D Back Up'!E1379</f>
        <v>125</v>
      </c>
      <c r="BD74" s="167">
        <f>'Factor D Back Up'!F1379</f>
        <v>250</v>
      </c>
      <c r="BE74" s="184">
        <f>'Factor D Back Up'!G1379</f>
        <v>432.44873999999999</v>
      </c>
      <c r="BF74" s="184">
        <f>'Factor D Back Up'!H1379</f>
        <v>108112.185</v>
      </c>
      <c r="BG74" s="167">
        <f>'Factor D Back Up'!D1380</f>
        <v>2</v>
      </c>
      <c r="BH74" s="167">
        <f>'Factor D Back Up'!E1380</f>
        <v>145.49999999999997</v>
      </c>
      <c r="BI74" s="167">
        <f>'Factor D Back Up'!F1380</f>
        <v>290.99999999999994</v>
      </c>
      <c r="BJ74" s="184">
        <f>'Factor D Back Up'!G1380</f>
        <v>443.69240723999997</v>
      </c>
      <c r="BK74" s="184">
        <f>'Factor D Back Up'!H1380</f>
        <v>129114.49050683997</v>
      </c>
      <c r="BL74" s="167">
        <f>'Factor D Back Up'!D1381</f>
        <v>2</v>
      </c>
      <c r="BM74" s="167">
        <f>'Factor D Back Up'!E1381</f>
        <v>165.99999999999997</v>
      </c>
      <c r="BN74" s="167">
        <f>'Factor D Back Up'!F1381</f>
        <v>331.99999999999994</v>
      </c>
      <c r="BO74" s="184">
        <f>'Factor D Back Up'!G1381</f>
        <v>455.22840982823999</v>
      </c>
      <c r="BP74" s="184">
        <f>'Factor D Back Up'!H1381</f>
        <v>151135.83206297565</v>
      </c>
      <c r="BQ74" s="167">
        <f>'Factor D Back Up'!D1382</f>
        <v>2</v>
      </c>
      <c r="BR74" s="167">
        <f>'Factor D Back Up'!E1382</f>
        <v>186.49999999999997</v>
      </c>
      <c r="BS74" s="167">
        <f>'Factor D Back Up'!F1382</f>
        <v>372.99999999999994</v>
      </c>
      <c r="BT74" s="184">
        <f>'Factor D Back Up'!G1382</f>
        <v>467.06434848377421</v>
      </c>
      <c r="BU74" s="184">
        <f>'Factor D Back Up'!H1382</f>
        <v>174215.00198444776</v>
      </c>
      <c r="BV74" s="167">
        <f>'Factor D Back Up'!D1383</f>
        <v>2</v>
      </c>
      <c r="BW74" s="167">
        <f>'Factor D Back Up'!E1383</f>
        <v>206.99999999999997</v>
      </c>
      <c r="BX74" s="167">
        <f>'Factor D Back Up'!F1383</f>
        <v>413.99999999999994</v>
      </c>
      <c r="BY74" s="184">
        <f>'Factor D Back Up'!G1383</f>
        <v>479.20802154435233</v>
      </c>
      <c r="BZ74" s="184">
        <f>'Factor D Back Up'!H1383</f>
        <v>198392.12091936183</v>
      </c>
      <c r="CA74" s="86"/>
      <c r="CB74" s="187">
        <f t="shared" si="107"/>
        <v>915180.68047362519</v>
      </c>
      <c r="CC74" s="282"/>
      <c r="CD74" s="281">
        <f t="shared" si="108"/>
        <v>915180.68047362519</v>
      </c>
      <c r="CE74" s="86"/>
      <c r="CF74" s="576">
        <f t="shared" si="95"/>
        <v>915180.68047362508</v>
      </c>
      <c r="CG74" s="86"/>
      <c r="CH74" s="86"/>
      <c r="CI74" s="86"/>
    </row>
    <row r="75" spans="1:87" ht="15" customHeight="1" x14ac:dyDescent="0.25">
      <c r="A75" s="83" t="s">
        <v>297</v>
      </c>
      <c r="B75" s="165" t="s">
        <v>138</v>
      </c>
      <c r="C75" s="590" t="s">
        <v>135</v>
      </c>
      <c r="D75" s="167">
        <v>0</v>
      </c>
      <c r="E75" s="167" t="e">
        <f t="shared" si="89"/>
        <v>#DIV/0!</v>
      </c>
      <c r="F75" s="167">
        <v>0</v>
      </c>
      <c r="G75" s="184" t="e">
        <f t="shared" si="90"/>
        <v>#DIV/0!</v>
      </c>
      <c r="H75" s="184">
        <v>0</v>
      </c>
      <c r="I75" s="167">
        <v>0</v>
      </c>
      <c r="J75" s="167" t="e">
        <f t="shared" si="91"/>
        <v>#DIV/0!</v>
      </c>
      <c r="K75" s="167">
        <v>0</v>
      </c>
      <c r="L75" s="184" t="e">
        <f t="shared" si="92"/>
        <v>#DIV/0!</v>
      </c>
      <c r="M75" s="184">
        <v>0</v>
      </c>
      <c r="N75" s="167">
        <v>0</v>
      </c>
      <c r="O75" s="167" t="e">
        <f t="shared" si="93"/>
        <v>#DIV/0!</v>
      </c>
      <c r="P75" s="167">
        <v>0</v>
      </c>
      <c r="Q75" s="184" t="e">
        <f t="shared" si="94"/>
        <v>#DIV/0!</v>
      </c>
      <c r="R75" s="184">
        <v>0</v>
      </c>
      <c r="S75" s="167">
        <v>0</v>
      </c>
      <c r="T75" s="167" t="e">
        <f t="shared" si="97"/>
        <v>#DIV/0!</v>
      </c>
      <c r="U75" s="167">
        <v>0</v>
      </c>
      <c r="V75" s="184" t="e">
        <f t="shared" si="96"/>
        <v>#DIV/0!</v>
      </c>
      <c r="W75" s="184">
        <v>0</v>
      </c>
      <c r="X75" s="167">
        <v>0</v>
      </c>
      <c r="Y75" s="167" t="e">
        <f t="shared" si="98"/>
        <v>#DIV/0!</v>
      </c>
      <c r="Z75" s="167">
        <v>0</v>
      </c>
      <c r="AA75" s="184" t="e">
        <f t="shared" si="99"/>
        <v>#DIV/0!</v>
      </c>
      <c r="AB75" s="184">
        <v>0</v>
      </c>
      <c r="AC75" s="167">
        <v>0</v>
      </c>
      <c r="AD75" s="167" t="e">
        <f t="shared" si="100"/>
        <v>#DIV/0!</v>
      </c>
      <c r="AE75" s="167">
        <v>0</v>
      </c>
      <c r="AF75" s="184" t="e">
        <f t="shared" si="101"/>
        <v>#DIV/0!</v>
      </c>
      <c r="AG75" s="184">
        <v>0</v>
      </c>
      <c r="AH75" s="167">
        <f>4+2</f>
        <v>6</v>
      </c>
      <c r="AI75" s="167">
        <f t="shared" si="102"/>
        <v>156.66666666666666</v>
      </c>
      <c r="AJ75" s="167">
        <f>248+692</f>
        <v>940</v>
      </c>
      <c r="AK75" s="184">
        <f t="shared" si="68"/>
        <v>375.35258510638295</v>
      </c>
      <c r="AL75" s="184">
        <f>93340.39+259491.04</f>
        <v>352831.43</v>
      </c>
      <c r="AM75" s="167">
        <f>6+2</f>
        <v>8</v>
      </c>
      <c r="AN75" s="167">
        <f t="shared" si="103"/>
        <v>309.75</v>
      </c>
      <c r="AO75" s="167">
        <f>667+1811</f>
        <v>2478</v>
      </c>
      <c r="AP75" s="184">
        <f t="shared" si="104"/>
        <v>395.85361178369652</v>
      </c>
      <c r="AQ75" s="184">
        <f>715405.8+265519.45</f>
        <v>980925.25</v>
      </c>
      <c r="AR75" s="167">
        <f>3+16</f>
        <v>19</v>
      </c>
      <c r="AS75" s="167">
        <f t="shared" si="105"/>
        <v>185.05263157894737</v>
      </c>
      <c r="AT75" s="167">
        <f>185+3331</f>
        <v>3516</v>
      </c>
      <c r="AU75" s="184">
        <f t="shared" si="106"/>
        <v>426.41523321956765</v>
      </c>
      <c r="AV75" s="184">
        <f>1425446.16+73829.8</f>
        <v>1499275.96</v>
      </c>
      <c r="AW75" s="167">
        <f>'Factor D Back Up'!D1396</f>
        <v>13</v>
      </c>
      <c r="AX75" s="167">
        <f>'Factor D Back Up'!E1396</f>
        <v>245.54239766081872</v>
      </c>
      <c r="AY75" s="167">
        <f>'Factor D Back Up'!F1396</f>
        <v>3192.0511695906434</v>
      </c>
      <c r="AZ75" s="184">
        <f>'Factor D Back Up'!G1396</f>
        <v>460.96</v>
      </c>
      <c r="BA75" s="184">
        <f>'Factor D Back Up'!H1396</f>
        <v>1471407.9071345029</v>
      </c>
      <c r="BB75" s="167">
        <f>'Factor D Back Up'!D1397</f>
        <v>14</v>
      </c>
      <c r="BC75" s="167">
        <f>'Factor D Back Up'!E1397</f>
        <v>259.73538011695911</v>
      </c>
      <c r="BD75" s="167">
        <f>'Factor D Back Up'!F1397</f>
        <v>3636.2953216374276</v>
      </c>
      <c r="BE75" s="184">
        <f>'Factor D Back Up'!G1397</f>
        <v>472.94495999999998</v>
      </c>
      <c r="BF75" s="184">
        <f>'Factor D Back Up'!H1397</f>
        <v>1719767.5454400002</v>
      </c>
      <c r="BG75" s="167">
        <f>'Factor D Back Up'!D1398</f>
        <v>14</v>
      </c>
      <c r="BH75" s="167">
        <f>'Factor D Back Up'!E1398</f>
        <v>273.92836257309943</v>
      </c>
      <c r="BI75" s="167">
        <f>'Factor D Back Up'!F1398</f>
        <v>3834.9970760233919</v>
      </c>
      <c r="BJ75" s="184">
        <f>'Factor D Back Up'!G1398</f>
        <v>485.24152895999998</v>
      </c>
      <c r="BK75" s="184">
        <f>'Factor D Back Up'!H1398</f>
        <v>1860899.8447267199</v>
      </c>
      <c r="BL75" s="167">
        <f>'Factor D Back Up'!D1399</f>
        <v>14</v>
      </c>
      <c r="BM75" s="167">
        <f>'Factor D Back Up'!E1399</f>
        <v>288.12134502923982</v>
      </c>
      <c r="BN75" s="167">
        <f>'Factor D Back Up'!F1399</f>
        <v>4033.6988304093575</v>
      </c>
      <c r="BO75" s="184">
        <f>'Factor D Back Up'!G1399</f>
        <v>497.85780871295998</v>
      </c>
      <c r="BP75" s="184">
        <f>'Factor D Back Up'!H1399</f>
        <v>2008208.4607156322</v>
      </c>
      <c r="BQ75" s="167">
        <f>'Factor D Back Up'!D1400</f>
        <v>15</v>
      </c>
      <c r="BR75" s="167">
        <f>'Factor D Back Up'!E1400</f>
        <v>302.3143274853802</v>
      </c>
      <c r="BS75" s="167">
        <f>'Factor D Back Up'!F1400</f>
        <v>4534.7149122807032</v>
      </c>
      <c r="BT75" s="184">
        <f>'Factor D Back Up'!G1400</f>
        <v>510.80211173949692</v>
      </c>
      <c r="BU75" s="184">
        <f>'Factor D Back Up'!H1400</f>
        <v>2316341.9533295706</v>
      </c>
      <c r="BV75" s="167">
        <f>'Factor D Back Up'!D1401</f>
        <v>15</v>
      </c>
      <c r="BW75" s="167">
        <f>'Factor D Back Up'!E1401</f>
        <v>316.50730994152053</v>
      </c>
      <c r="BX75" s="167">
        <f>'Factor D Back Up'!F1401</f>
        <v>4747.6096491228082</v>
      </c>
      <c r="BY75" s="184">
        <f>'Factor D Back Up'!G1401</f>
        <v>524.0829666447238</v>
      </c>
      <c r="BZ75" s="184">
        <f>'Factor D Back Up'!H1401</f>
        <v>2488141.3493833975</v>
      </c>
      <c r="CA75" s="86"/>
      <c r="CB75" s="187">
        <f>SUM(BZ75,BU75,BP75,BK75,BF75,BA75,AV75,AQ75,AL75,AG75,AB75,W75)</f>
        <v>14697799.700729821</v>
      </c>
      <c r="CC75" s="282"/>
      <c r="CD75" s="281">
        <f t="shared" si="108"/>
        <v>14697799.700729821</v>
      </c>
      <c r="CE75" s="86"/>
      <c r="CF75" s="576">
        <f t="shared" si="95"/>
        <v>14697799.700729823</v>
      </c>
      <c r="CG75" s="86"/>
      <c r="CH75" s="86"/>
      <c r="CI75" s="86"/>
    </row>
    <row r="76" spans="1:87" ht="15" customHeight="1" x14ac:dyDescent="0.25">
      <c r="A76" s="83" t="s">
        <v>299</v>
      </c>
      <c r="B76" s="165" t="s">
        <v>138</v>
      </c>
      <c r="C76" s="590" t="s">
        <v>135</v>
      </c>
      <c r="D76" s="167">
        <v>0</v>
      </c>
      <c r="E76" s="167" t="e">
        <f t="shared" si="89"/>
        <v>#DIV/0!</v>
      </c>
      <c r="F76" s="167">
        <v>0</v>
      </c>
      <c r="G76" s="184" t="e">
        <f t="shared" si="90"/>
        <v>#DIV/0!</v>
      </c>
      <c r="H76" s="184">
        <v>0</v>
      </c>
      <c r="I76" s="167">
        <v>0</v>
      </c>
      <c r="J76" s="167" t="e">
        <f t="shared" si="91"/>
        <v>#DIV/0!</v>
      </c>
      <c r="K76" s="167">
        <v>0</v>
      </c>
      <c r="L76" s="184" t="e">
        <f t="shared" si="92"/>
        <v>#DIV/0!</v>
      </c>
      <c r="M76" s="184">
        <v>0</v>
      </c>
      <c r="N76" s="167">
        <v>0</v>
      </c>
      <c r="O76" s="167" t="e">
        <f t="shared" si="93"/>
        <v>#DIV/0!</v>
      </c>
      <c r="P76" s="167">
        <v>0</v>
      </c>
      <c r="Q76" s="184" t="e">
        <f t="shared" si="94"/>
        <v>#DIV/0!</v>
      </c>
      <c r="R76" s="184">
        <v>0</v>
      </c>
      <c r="S76" s="167">
        <v>0</v>
      </c>
      <c r="T76" s="167" t="e">
        <f t="shared" si="97"/>
        <v>#DIV/0!</v>
      </c>
      <c r="U76" s="167">
        <v>0</v>
      </c>
      <c r="V76" s="184" t="e">
        <f t="shared" si="96"/>
        <v>#DIV/0!</v>
      </c>
      <c r="W76" s="184">
        <v>0</v>
      </c>
      <c r="X76" s="167">
        <v>0</v>
      </c>
      <c r="Y76" s="167" t="e">
        <f t="shared" si="98"/>
        <v>#DIV/0!</v>
      </c>
      <c r="Z76" s="167">
        <v>0</v>
      </c>
      <c r="AA76" s="184" t="e">
        <f t="shared" si="99"/>
        <v>#DIV/0!</v>
      </c>
      <c r="AB76" s="184">
        <v>0</v>
      </c>
      <c r="AC76" s="167">
        <v>0</v>
      </c>
      <c r="AD76" s="167" t="e">
        <f t="shared" si="100"/>
        <v>#DIV/0!</v>
      </c>
      <c r="AE76" s="167">
        <v>0</v>
      </c>
      <c r="AF76" s="184" t="e">
        <f t="shared" si="101"/>
        <v>#DIV/0!</v>
      </c>
      <c r="AG76" s="184">
        <v>0</v>
      </c>
      <c r="AH76" s="167">
        <f>21+10</f>
        <v>31</v>
      </c>
      <c r="AI76" s="167">
        <f t="shared" si="102"/>
        <v>109.70967741935483</v>
      </c>
      <c r="AJ76" s="167">
        <f>1102+2299</f>
        <v>3401</v>
      </c>
      <c r="AK76" s="184">
        <f t="shared" si="68"/>
        <v>436.70399882387534</v>
      </c>
      <c r="AL76" s="184">
        <f>1004325.64+480904.66</f>
        <v>1485230.3</v>
      </c>
      <c r="AM76" s="167">
        <f>28+14</f>
        <v>42</v>
      </c>
      <c r="AN76" s="167">
        <f t="shared" si="103"/>
        <v>284.6904761904762</v>
      </c>
      <c r="AO76" s="167">
        <f>8853+3104</f>
        <v>11957</v>
      </c>
      <c r="AP76" s="184">
        <f t="shared" si="104"/>
        <v>455.03562850213262</v>
      </c>
      <c r="AQ76" s="184">
        <f>1399087.31+4041773.7</f>
        <v>5440861.0099999998</v>
      </c>
      <c r="AR76" s="167">
        <f>16+39</f>
        <v>55</v>
      </c>
      <c r="AS76" s="167">
        <f t="shared" si="105"/>
        <v>273.12727272727273</v>
      </c>
      <c r="AT76" s="167">
        <f>4240+10782</f>
        <v>15022</v>
      </c>
      <c r="AU76" s="184">
        <f t="shared" si="106"/>
        <v>482.74791505791512</v>
      </c>
      <c r="AV76" s="184">
        <f>5238440.48+2013398.7</f>
        <v>7251839.1800000006</v>
      </c>
      <c r="AW76" s="167">
        <f>'Factor D Back Up'!D1414</f>
        <v>39</v>
      </c>
      <c r="AX76" s="167">
        <f>'Factor D Back Up'!E1414</f>
        <v>258.22822366175762</v>
      </c>
      <c r="AY76" s="167">
        <f>'Factor D Back Up'!F1414</f>
        <v>10070.900722808547</v>
      </c>
      <c r="AZ76" s="184">
        <f>'Factor D Back Up'!G1414</f>
        <v>510.61</v>
      </c>
      <c r="BA76" s="184">
        <f>'Factor D Back Up'!H1414</f>
        <v>5142302.6180732725</v>
      </c>
      <c r="BB76" s="167">
        <f>'Factor D Back Up'!D1415</f>
        <v>40</v>
      </c>
      <c r="BC76" s="167">
        <f>'Factor D Back Up'!E1415</f>
        <v>272.24198650569372</v>
      </c>
      <c r="BD76" s="167">
        <f>'Factor D Back Up'!F1415</f>
        <v>10889.679460227748</v>
      </c>
      <c r="BE76" s="184">
        <f>'Factor D Back Up'!G1415</f>
        <v>523.88585999999998</v>
      </c>
      <c r="BF76" s="184">
        <f>'Factor D Back Up'!H1415</f>
        <v>5704949.0891457489</v>
      </c>
      <c r="BG76" s="167">
        <f>'Factor D Back Up'!D1416</f>
        <v>41</v>
      </c>
      <c r="BH76" s="167">
        <f>'Factor D Back Up'!E1416</f>
        <v>286.25574934962992</v>
      </c>
      <c r="BI76" s="167">
        <f>'Factor D Back Up'!F1416</f>
        <v>11736.485723334827</v>
      </c>
      <c r="BJ76" s="184">
        <f>'Factor D Back Up'!G1416</f>
        <v>537.50689235999994</v>
      </c>
      <c r="BK76" s="184">
        <f>'Factor D Back Up'!H1416</f>
        <v>6308441.9683772083</v>
      </c>
      <c r="BL76" s="167">
        <f>'Factor D Back Up'!D1417</f>
        <v>42</v>
      </c>
      <c r="BM76" s="167">
        <f>'Factor D Back Up'!E1417</f>
        <v>300.26951219356602</v>
      </c>
      <c r="BN76" s="167">
        <f>'Factor D Back Up'!F1417</f>
        <v>12611.319512129772</v>
      </c>
      <c r="BO76" s="184">
        <f>'Factor D Back Up'!G1417</f>
        <v>551.48207156135993</v>
      </c>
      <c r="BP76" s="184">
        <f>'Factor D Back Up'!H1417</f>
        <v>6954916.6096715257</v>
      </c>
      <c r="BQ76" s="167">
        <f>'Factor D Back Up'!D1418</f>
        <v>42</v>
      </c>
      <c r="BR76" s="167">
        <f>'Factor D Back Up'!E1418</f>
        <v>314.28327503750216</v>
      </c>
      <c r="BS76" s="167">
        <f>'Factor D Back Up'!F1418</f>
        <v>13199.897551575092</v>
      </c>
      <c r="BT76" s="184">
        <f>'Factor D Back Up'!G1418</f>
        <v>565.82060542195529</v>
      </c>
      <c r="BU76" s="184">
        <f>'Factor D Back Up'!H1418</f>
        <v>7468774.0241400041</v>
      </c>
      <c r="BV76" s="167">
        <f>'Factor D Back Up'!D1419</f>
        <v>43</v>
      </c>
      <c r="BW76" s="167">
        <f>'Factor D Back Up'!E1419</f>
        <v>328.29703788143831</v>
      </c>
      <c r="BX76" s="167">
        <f>'Factor D Back Up'!F1419</f>
        <v>14116.772628901848</v>
      </c>
      <c r="BY76" s="184">
        <f>'Factor D Back Up'!G1419</f>
        <v>580.53194116292616</v>
      </c>
      <c r="BZ76" s="184">
        <f>'Factor D Back Up'!H1419</f>
        <v>8195237.4172120541</v>
      </c>
      <c r="CA76" s="86"/>
      <c r="CB76" s="187">
        <f t="shared" si="107"/>
        <v>53952552.216619805</v>
      </c>
      <c r="CC76" s="282"/>
      <c r="CD76" s="281">
        <f t="shared" si="108"/>
        <v>53952552.216619805</v>
      </c>
      <c r="CE76" s="86"/>
      <c r="CF76" s="576">
        <f t="shared" si="95"/>
        <v>53952552.216619819</v>
      </c>
      <c r="CG76" s="86"/>
      <c r="CH76" s="86"/>
      <c r="CI76" s="86"/>
    </row>
    <row r="77" spans="1:87" s="17" customFormat="1" ht="15" customHeight="1" x14ac:dyDescent="0.25">
      <c r="A77" s="256" t="s">
        <v>298</v>
      </c>
      <c r="B77" s="165" t="s">
        <v>138</v>
      </c>
      <c r="C77" s="590" t="s">
        <v>135</v>
      </c>
      <c r="D77" s="167">
        <v>0</v>
      </c>
      <c r="E77" s="167" t="e">
        <f t="shared" si="89"/>
        <v>#DIV/0!</v>
      </c>
      <c r="F77" s="167">
        <v>0</v>
      </c>
      <c r="G77" s="184" t="e">
        <f t="shared" si="90"/>
        <v>#DIV/0!</v>
      </c>
      <c r="H77" s="184">
        <v>0</v>
      </c>
      <c r="I77" s="167">
        <v>0</v>
      </c>
      <c r="J77" s="167" t="e">
        <f t="shared" si="91"/>
        <v>#DIV/0!</v>
      </c>
      <c r="K77" s="167">
        <v>0</v>
      </c>
      <c r="L77" s="184" t="e">
        <f t="shared" si="92"/>
        <v>#DIV/0!</v>
      </c>
      <c r="M77" s="184">
        <v>0</v>
      </c>
      <c r="N77" s="167">
        <v>0</v>
      </c>
      <c r="O77" s="167" t="e">
        <f t="shared" si="93"/>
        <v>#DIV/0!</v>
      </c>
      <c r="P77" s="167">
        <v>0</v>
      </c>
      <c r="Q77" s="184" t="e">
        <f t="shared" si="94"/>
        <v>#DIV/0!</v>
      </c>
      <c r="R77" s="184">
        <v>0</v>
      </c>
      <c r="S77" s="167">
        <v>0</v>
      </c>
      <c r="T77" s="167" t="e">
        <f t="shared" si="97"/>
        <v>#DIV/0!</v>
      </c>
      <c r="U77" s="167">
        <v>0</v>
      </c>
      <c r="V77" s="184" t="e">
        <f t="shared" si="96"/>
        <v>#DIV/0!</v>
      </c>
      <c r="W77" s="184">
        <v>0</v>
      </c>
      <c r="X77" s="167">
        <v>0</v>
      </c>
      <c r="Y77" s="167" t="e">
        <f t="shared" si="98"/>
        <v>#DIV/0!</v>
      </c>
      <c r="Z77" s="167">
        <v>0</v>
      </c>
      <c r="AA77" s="184" t="e">
        <f t="shared" si="99"/>
        <v>#DIV/0!</v>
      </c>
      <c r="AB77" s="184">
        <v>0</v>
      </c>
      <c r="AC77" s="167">
        <v>0</v>
      </c>
      <c r="AD77" s="167" t="e">
        <f t="shared" si="100"/>
        <v>#DIV/0!</v>
      </c>
      <c r="AE77" s="167">
        <v>0</v>
      </c>
      <c r="AF77" s="184" t="e">
        <f t="shared" si="101"/>
        <v>#DIV/0!</v>
      </c>
      <c r="AG77" s="184">
        <v>0</v>
      </c>
      <c r="AH77" s="167">
        <v>6</v>
      </c>
      <c r="AI77" s="167">
        <f t="shared" si="102"/>
        <v>81.5</v>
      </c>
      <c r="AJ77" s="167">
        <v>489</v>
      </c>
      <c r="AK77" s="184">
        <f t="shared" si="68"/>
        <v>602.19325153374234</v>
      </c>
      <c r="AL77" s="184">
        <v>294472.5</v>
      </c>
      <c r="AM77" s="167">
        <v>7</v>
      </c>
      <c r="AN77" s="167">
        <f t="shared" si="103"/>
        <v>300.42857142857144</v>
      </c>
      <c r="AO77" s="167">
        <v>2103</v>
      </c>
      <c r="AP77" s="184">
        <f t="shared" si="104"/>
        <v>622.88</v>
      </c>
      <c r="AQ77" s="184">
        <v>1309916.6399999999</v>
      </c>
      <c r="AR77" s="167">
        <v>13</v>
      </c>
      <c r="AS77" s="167">
        <f t="shared" si="105"/>
        <v>261.15384615384613</v>
      </c>
      <c r="AT77" s="167">
        <v>3395</v>
      </c>
      <c r="AU77" s="184">
        <f t="shared" si="106"/>
        <v>601.1065036818851</v>
      </c>
      <c r="AV77" s="184">
        <v>2040756.58</v>
      </c>
      <c r="AW77" s="167">
        <f>'Factor D Back Up'!D1630</f>
        <v>9</v>
      </c>
      <c r="AX77" s="167">
        <f>'Factor D Back Up'!E1630</f>
        <v>365</v>
      </c>
      <c r="AY77" s="167">
        <f>'Factor D Back Up'!F1630</f>
        <v>3285</v>
      </c>
      <c r="AZ77" s="184">
        <f>'Factor D Back Up'!G1630</f>
        <v>563.14</v>
      </c>
      <c r="BA77" s="184">
        <f>'Factor D Back Up'!H1630</f>
        <v>1849914.9</v>
      </c>
      <c r="BB77" s="167">
        <f>'Factor D Back Up'!D1631</f>
        <v>10</v>
      </c>
      <c r="BC77" s="167">
        <f>'Factor D Back Up'!E1631</f>
        <v>365</v>
      </c>
      <c r="BD77" s="167">
        <f>'Factor D Back Up'!F1631</f>
        <v>3650</v>
      </c>
      <c r="BE77" s="184">
        <f>'Factor D Back Up'!G1631</f>
        <v>577.78164000000004</v>
      </c>
      <c r="BF77" s="184">
        <f>'Factor D Back Up'!H1631</f>
        <v>2108902.986</v>
      </c>
      <c r="BG77" s="167">
        <f>'Factor D Back Up'!D1632</f>
        <v>10</v>
      </c>
      <c r="BH77" s="167">
        <f>'Factor D Back Up'!E1632</f>
        <v>365</v>
      </c>
      <c r="BI77" s="167">
        <f>'Factor D Back Up'!F1632</f>
        <v>3650</v>
      </c>
      <c r="BJ77" s="184">
        <f>'Factor D Back Up'!G1632</f>
        <v>592.80396264000001</v>
      </c>
      <c r="BK77" s="184">
        <f>'Factor D Back Up'!H1632</f>
        <v>2163734.4636360002</v>
      </c>
      <c r="BL77" s="167">
        <f>'Factor D Back Up'!D1633</f>
        <v>10</v>
      </c>
      <c r="BM77" s="167">
        <f>'Factor D Back Up'!E1633</f>
        <v>365</v>
      </c>
      <c r="BN77" s="167">
        <f>'Factor D Back Up'!F1633</f>
        <v>3650</v>
      </c>
      <c r="BO77" s="184">
        <f>'Factor D Back Up'!G1633</f>
        <v>608.21686566864003</v>
      </c>
      <c r="BP77" s="184">
        <f>'Factor D Back Up'!H1633</f>
        <v>2219991.559690536</v>
      </c>
      <c r="BQ77" s="167">
        <f>'Factor D Back Up'!D1634</f>
        <v>10</v>
      </c>
      <c r="BR77" s="167">
        <f>'Factor D Back Up'!E1634</f>
        <v>365</v>
      </c>
      <c r="BS77" s="167">
        <f>'Factor D Back Up'!F1634</f>
        <v>3650</v>
      </c>
      <c r="BT77" s="184">
        <f>'Factor D Back Up'!G1634</f>
        <v>624.03050417602469</v>
      </c>
      <c r="BU77" s="184">
        <f>'Factor D Back Up'!H1634</f>
        <v>2277711.3402424902</v>
      </c>
      <c r="BV77" s="167">
        <f>'Factor D Back Up'!D1635</f>
        <v>10</v>
      </c>
      <c r="BW77" s="167">
        <f>'Factor D Back Up'!E1635</f>
        <v>365</v>
      </c>
      <c r="BX77" s="167">
        <f>'Factor D Back Up'!F1635</f>
        <v>3650</v>
      </c>
      <c r="BY77" s="184">
        <f>'Factor D Back Up'!G1635</f>
        <v>640.25529728460128</v>
      </c>
      <c r="BZ77" s="184">
        <f>'Factor D Back Up'!H1635</f>
        <v>2336931.8350887946</v>
      </c>
      <c r="CA77" s="77"/>
      <c r="CB77" s="187">
        <f t="shared" si="107"/>
        <v>16602332.804657822</v>
      </c>
      <c r="CC77" s="283"/>
      <c r="CD77" s="281">
        <f t="shared" si="108"/>
        <v>16602332.804657822</v>
      </c>
      <c r="CE77" s="77"/>
      <c r="CF77" s="576">
        <f t="shared" si="95"/>
        <v>16602332.804657819</v>
      </c>
      <c r="CG77" s="77"/>
      <c r="CH77" s="77"/>
      <c r="CI77" s="77"/>
    </row>
    <row r="78" spans="1:87" ht="15" customHeight="1" x14ac:dyDescent="0.25">
      <c r="A78" s="83" t="s">
        <v>300</v>
      </c>
      <c r="B78" s="165" t="s">
        <v>138</v>
      </c>
      <c r="C78" s="590" t="s">
        <v>135</v>
      </c>
      <c r="D78" s="167">
        <v>0</v>
      </c>
      <c r="E78" s="167" t="e">
        <f t="shared" si="89"/>
        <v>#DIV/0!</v>
      </c>
      <c r="F78" s="167">
        <v>0</v>
      </c>
      <c r="G78" s="184" t="e">
        <f t="shared" si="90"/>
        <v>#DIV/0!</v>
      </c>
      <c r="H78" s="184">
        <v>0</v>
      </c>
      <c r="I78" s="167">
        <v>0</v>
      </c>
      <c r="J78" s="167" t="e">
        <f t="shared" si="91"/>
        <v>#DIV/0!</v>
      </c>
      <c r="K78" s="167">
        <v>0</v>
      </c>
      <c r="L78" s="184" t="e">
        <f t="shared" si="92"/>
        <v>#DIV/0!</v>
      </c>
      <c r="M78" s="184">
        <v>0</v>
      </c>
      <c r="N78" s="167">
        <v>0</v>
      </c>
      <c r="O78" s="167" t="e">
        <f t="shared" si="93"/>
        <v>#DIV/0!</v>
      </c>
      <c r="P78" s="167">
        <v>0</v>
      </c>
      <c r="Q78" s="184" t="e">
        <f t="shared" si="94"/>
        <v>#DIV/0!</v>
      </c>
      <c r="R78" s="184">
        <v>0</v>
      </c>
      <c r="S78" s="167">
        <v>0</v>
      </c>
      <c r="T78" s="167" t="e">
        <f t="shared" si="97"/>
        <v>#DIV/0!</v>
      </c>
      <c r="U78" s="167">
        <v>0</v>
      </c>
      <c r="V78" s="184" t="e">
        <f t="shared" si="96"/>
        <v>#DIV/0!</v>
      </c>
      <c r="W78" s="184">
        <v>0</v>
      </c>
      <c r="X78" s="167">
        <v>0</v>
      </c>
      <c r="Y78" s="167" t="e">
        <f t="shared" si="98"/>
        <v>#DIV/0!</v>
      </c>
      <c r="Z78" s="167">
        <v>0</v>
      </c>
      <c r="AA78" s="184" t="e">
        <f t="shared" si="99"/>
        <v>#DIV/0!</v>
      </c>
      <c r="AB78" s="184">
        <v>0</v>
      </c>
      <c r="AC78" s="167">
        <v>0</v>
      </c>
      <c r="AD78" s="167" t="e">
        <f t="shared" si="100"/>
        <v>#DIV/0!</v>
      </c>
      <c r="AE78" s="167">
        <v>0</v>
      </c>
      <c r="AF78" s="184" t="e">
        <f t="shared" si="101"/>
        <v>#DIV/0!</v>
      </c>
      <c r="AG78" s="184">
        <v>0</v>
      </c>
      <c r="AH78" s="167">
        <v>1</v>
      </c>
      <c r="AI78" s="167">
        <f t="shared" si="102"/>
        <v>142</v>
      </c>
      <c r="AJ78" s="167">
        <v>142</v>
      </c>
      <c r="AK78" s="184">
        <f t="shared" si="68"/>
        <v>322.38697183098589</v>
      </c>
      <c r="AL78" s="184">
        <v>45778.95</v>
      </c>
      <c r="AM78" s="167">
        <v>1</v>
      </c>
      <c r="AN78" s="167">
        <f t="shared" si="103"/>
        <v>208</v>
      </c>
      <c r="AO78" s="167">
        <v>208</v>
      </c>
      <c r="AP78" s="184">
        <f t="shared" si="104"/>
        <v>320.38966346153848</v>
      </c>
      <c r="AQ78" s="184">
        <v>66641.05</v>
      </c>
      <c r="AR78" s="167">
        <v>2</v>
      </c>
      <c r="AS78" s="167">
        <f t="shared" si="105"/>
        <v>275</v>
      </c>
      <c r="AT78" s="167">
        <v>550</v>
      </c>
      <c r="AU78" s="184">
        <f t="shared" si="106"/>
        <v>339.43</v>
      </c>
      <c r="AV78" s="184">
        <v>186686.5</v>
      </c>
      <c r="AW78" s="167">
        <f>'Factor D Back Up'!D1432</f>
        <v>1</v>
      </c>
      <c r="AX78" s="167">
        <f>'Factor D Back Up'!E1432</f>
        <v>341.33333333333337</v>
      </c>
      <c r="AY78" s="167">
        <f>'Factor D Back Up'!F1432</f>
        <v>341.33333333333337</v>
      </c>
      <c r="AZ78" s="184">
        <f>'Factor D Back Up'!G1432</f>
        <v>391.96</v>
      </c>
      <c r="BA78" s="184">
        <f>'Factor D Back Up'!H1432</f>
        <v>133789.01333333334</v>
      </c>
      <c r="BB78" s="167">
        <f>'Factor D Back Up'!D1433</f>
        <v>1</v>
      </c>
      <c r="BC78" s="167">
        <f>'Factor D Back Up'!E1433</f>
        <v>365</v>
      </c>
      <c r="BD78" s="167">
        <f>'Factor D Back Up'!F1433</f>
        <v>365</v>
      </c>
      <c r="BE78" s="184">
        <f>'Factor D Back Up'!G1433</f>
        <v>402.15096</v>
      </c>
      <c r="BF78" s="184">
        <f>'Factor D Back Up'!H1433</f>
        <v>146785.1004</v>
      </c>
      <c r="BG78" s="167">
        <f>'Factor D Back Up'!D1434</f>
        <v>1</v>
      </c>
      <c r="BH78" s="167">
        <f>'Factor D Back Up'!E1434</f>
        <v>365</v>
      </c>
      <c r="BI78" s="167">
        <f>'Factor D Back Up'!F1434</f>
        <v>365</v>
      </c>
      <c r="BJ78" s="184">
        <f>'Factor D Back Up'!G1434</f>
        <v>412.60688496</v>
      </c>
      <c r="BK78" s="184">
        <f>'Factor D Back Up'!H1434</f>
        <v>150601.5130104</v>
      </c>
      <c r="BL78" s="167">
        <f>'Factor D Back Up'!D1435</f>
        <v>2</v>
      </c>
      <c r="BM78" s="167">
        <f>'Factor D Back Up'!E1435</f>
        <v>365</v>
      </c>
      <c r="BN78" s="167">
        <f>'Factor D Back Up'!F1435</f>
        <v>730</v>
      </c>
      <c r="BO78" s="184">
        <f>'Factor D Back Up'!G1435</f>
        <v>423.33466396896</v>
      </c>
      <c r="BP78" s="184">
        <f>'Factor D Back Up'!H1435</f>
        <v>309034.30469734082</v>
      </c>
      <c r="BQ78" s="167">
        <f>'Factor D Back Up'!D1436</f>
        <v>2</v>
      </c>
      <c r="BR78" s="167">
        <f>'Factor D Back Up'!E1436</f>
        <v>365</v>
      </c>
      <c r="BS78" s="167">
        <f xml:space="preserve"> 'Factor D Back Up'!F1436</f>
        <v>730</v>
      </c>
      <c r="BT78" s="184">
        <f>'Factor D Back Up'!G1436</f>
        <v>434.34136523215295</v>
      </c>
      <c r="BU78" s="184">
        <f>'Factor D Back Up'!H1436</f>
        <v>317069.19661947165</v>
      </c>
      <c r="BV78" s="167">
        <f>'Factor D Back Up'!D1437</f>
        <v>2</v>
      </c>
      <c r="BW78" s="167">
        <f>'Factor D Back Up'!E1437</f>
        <v>365</v>
      </c>
      <c r="BX78" s="167">
        <f>'Factor D Back Up'!F1437</f>
        <v>730</v>
      </c>
      <c r="BY78" s="184">
        <f>'Factor D Back Up'!G1437</f>
        <v>445.63424072818896</v>
      </c>
      <c r="BZ78" s="184">
        <f>'Factor D Back Up'!H1437</f>
        <v>325312.99573157792</v>
      </c>
      <c r="CA78" s="86"/>
      <c r="CB78" s="187">
        <f t="shared" si="107"/>
        <v>1681698.6237921237</v>
      </c>
      <c r="CC78" s="282"/>
      <c r="CD78" s="281">
        <f t="shared" si="108"/>
        <v>1681698.6237921237</v>
      </c>
      <c r="CE78" s="86"/>
      <c r="CF78" s="576">
        <f t="shared" si="95"/>
        <v>1681698.6237921237</v>
      </c>
      <c r="CG78" s="86"/>
      <c r="CH78" s="86"/>
      <c r="CI78" s="86"/>
    </row>
    <row r="79" spans="1:87" ht="15" customHeight="1" x14ac:dyDescent="0.25">
      <c r="A79" s="83" t="s">
        <v>301</v>
      </c>
      <c r="B79" s="165" t="s">
        <v>138</v>
      </c>
      <c r="C79" s="590" t="s">
        <v>135</v>
      </c>
      <c r="D79" s="167">
        <v>0</v>
      </c>
      <c r="E79" s="167" t="e">
        <f t="shared" si="89"/>
        <v>#DIV/0!</v>
      </c>
      <c r="F79" s="167">
        <v>0</v>
      </c>
      <c r="G79" s="184" t="e">
        <f t="shared" si="90"/>
        <v>#DIV/0!</v>
      </c>
      <c r="H79" s="184">
        <v>0</v>
      </c>
      <c r="I79" s="167">
        <v>0</v>
      </c>
      <c r="J79" s="167" t="e">
        <f t="shared" si="91"/>
        <v>#DIV/0!</v>
      </c>
      <c r="K79" s="167">
        <v>0</v>
      </c>
      <c r="L79" s="184" t="e">
        <f t="shared" si="92"/>
        <v>#DIV/0!</v>
      </c>
      <c r="M79" s="184">
        <v>0</v>
      </c>
      <c r="N79" s="167">
        <v>0</v>
      </c>
      <c r="O79" s="167" t="e">
        <f t="shared" si="93"/>
        <v>#DIV/0!</v>
      </c>
      <c r="P79" s="167">
        <v>0</v>
      </c>
      <c r="Q79" s="184" t="e">
        <f t="shared" si="94"/>
        <v>#DIV/0!</v>
      </c>
      <c r="R79" s="184">
        <v>0</v>
      </c>
      <c r="S79" s="167">
        <v>0</v>
      </c>
      <c r="T79" s="167" t="e">
        <f t="shared" si="97"/>
        <v>#DIV/0!</v>
      </c>
      <c r="U79" s="167">
        <v>0</v>
      </c>
      <c r="V79" s="184" t="e">
        <f t="shared" si="96"/>
        <v>#DIV/0!</v>
      </c>
      <c r="W79" s="184">
        <v>0</v>
      </c>
      <c r="X79" s="167">
        <v>0</v>
      </c>
      <c r="Y79" s="167" t="e">
        <f t="shared" si="98"/>
        <v>#DIV/0!</v>
      </c>
      <c r="Z79" s="167">
        <v>0</v>
      </c>
      <c r="AA79" s="184" t="e">
        <f t="shared" si="99"/>
        <v>#DIV/0!</v>
      </c>
      <c r="AB79" s="184">
        <v>0</v>
      </c>
      <c r="AC79" s="167">
        <v>0</v>
      </c>
      <c r="AD79" s="167" t="e">
        <f t="shared" si="100"/>
        <v>#DIV/0!</v>
      </c>
      <c r="AE79" s="167">
        <v>0</v>
      </c>
      <c r="AF79" s="184" t="e">
        <f t="shared" si="101"/>
        <v>#DIV/0!</v>
      </c>
      <c r="AG79" s="184">
        <v>0</v>
      </c>
      <c r="AH79" s="167">
        <f>26+24</f>
        <v>50</v>
      </c>
      <c r="AI79" s="167">
        <f t="shared" si="102"/>
        <v>106.54</v>
      </c>
      <c r="AJ79" s="167">
        <f>3114+2213</f>
        <v>5327</v>
      </c>
      <c r="AK79" s="184">
        <f t="shared" si="68"/>
        <v>349.43700394218132</v>
      </c>
      <c r="AL79" s="184">
        <f>777715.12+1083735.8</f>
        <v>1861450.92</v>
      </c>
      <c r="AM79" s="167">
        <f>34+24</f>
        <v>58</v>
      </c>
      <c r="AN79" s="167">
        <f t="shared" si="103"/>
        <v>279.70689655172413</v>
      </c>
      <c r="AO79" s="167">
        <f>7349+8874</f>
        <v>16223</v>
      </c>
      <c r="AP79" s="184">
        <f t="shared" si="104"/>
        <v>364.99949331196444</v>
      </c>
      <c r="AQ79" s="184">
        <f>3241892.94+2679493.84</f>
        <v>5921386.7799999993</v>
      </c>
      <c r="AR79" s="167">
        <f>77+30</f>
        <v>107</v>
      </c>
      <c r="AS79" s="167">
        <f t="shared" si="105"/>
        <v>192.32710280373831</v>
      </c>
      <c r="AT79" s="167">
        <f>12363+8216</f>
        <v>20579</v>
      </c>
      <c r="AU79" s="184">
        <f t="shared" si="106"/>
        <v>379.70612566208268</v>
      </c>
      <c r="AV79" s="184">
        <f>4755855.88+3058116.48</f>
        <v>7813972.3599999994</v>
      </c>
      <c r="AW79" s="167">
        <f>'Factor D Back Up'!D1450</f>
        <v>150</v>
      </c>
      <c r="AX79" s="167">
        <f>'Factor D Back Up'!E1450</f>
        <v>278.64510258889243</v>
      </c>
      <c r="AY79" s="167">
        <f>'Factor D Back Up'!F1450</f>
        <v>41796.765388333864</v>
      </c>
      <c r="AZ79" s="184">
        <f>'Factor D Back Up'!G1450</f>
        <v>404.8</v>
      </c>
      <c r="BA79" s="184">
        <f>'Factor D Back Up'!H1450</f>
        <v>16919330.629197549</v>
      </c>
      <c r="BB79" s="167">
        <f>'Factor D Back Up'!D1451</f>
        <v>78</v>
      </c>
      <c r="BC79" s="167">
        <f>'Factor D Back Up'!E1451</f>
        <v>321.53865399076165</v>
      </c>
      <c r="BD79" s="167">
        <f>'Factor D Back Up'!F1451</f>
        <v>25080.015011279407</v>
      </c>
      <c r="BE79" s="184">
        <f>'Factor D Back Up'!G1451</f>
        <v>415.32479999999998</v>
      </c>
      <c r="BF79" s="184">
        <f>'Factor D Back Up'!H1451</f>
        <v>10416352.218556616</v>
      </c>
      <c r="BG79" s="167">
        <f>'Factor D Back Up'!D1452</f>
        <v>80</v>
      </c>
      <c r="BH79" s="167">
        <f>'Factor D Back Up'!E1452</f>
        <v>364.43220539263086</v>
      </c>
      <c r="BI79" s="167">
        <f>'Factor D Back Up'!F1452</f>
        <v>29154.576431410467</v>
      </c>
      <c r="BJ79" s="184">
        <f>'Factor D Back Up'!G1452</f>
        <v>426.12324479999995</v>
      </c>
      <c r="BK79" s="184">
        <f>'Factor D Back Up'!H1452</f>
        <v>12423442.709722232</v>
      </c>
      <c r="BL79" s="167">
        <f>'Factor D Back Up'!D1453</f>
        <v>81</v>
      </c>
      <c r="BM79" s="167">
        <f>'Factor D Back Up'!E1453</f>
        <v>365</v>
      </c>
      <c r="BN79" s="167">
        <f>'Factor D Back Up'!F1453</f>
        <v>29565</v>
      </c>
      <c r="BO79" s="184">
        <f>'Factor D Back Up'!G1453</f>
        <v>437.20244916479993</v>
      </c>
      <c r="BP79" s="184">
        <f>'Factor D Back Up'!H1453</f>
        <v>12925890.409557309</v>
      </c>
      <c r="BQ79" s="167">
        <f>'Factor D Back Up'!D1454</f>
        <v>83</v>
      </c>
      <c r="BR79" s="167">
        <f>'Factor D Back Up'!E1454</f>
        <v>365</v>
      </c>
      <c r="BS79" s="167">
        <f>'Factor D Back Up'!F1454</f>
        <v>30295</v>
      </c>
      <c r="BT79" s="184">
        <f>'Factor D Back Up'!G1454</f>
        <v>448.56971284308474</v>
      </c>
      <c r="BU79" s="184">
        <f>'Factor D Back Up'!H1454</f>
        <v>13589419.450581253</v>
      </c>
      <c r="BV79" s="167">
        <f>'Factor D Back Up'!D1455</f>
        <v>84</v>
      </c>
      <c r="BW79" s="167">
        <f>'Factor D Back Up'!E1455</f>
        <v>365</v>
      </c>
      <c r="BX79" s="167">
        <f>'Factor D Back Up'!F1455</f>
        <v>30660</v>
      </c>
      <c r="BY79" s="184">
        <f>'Factor D Back Up'!G1455</f>
        <v>460.23252537700495</v>
      </c>
      <c r="BZ79" s="184">
        <f>'Factor D Back Up'!H1455</f>
        <v>14110729.228058971</v>
      </c>
      <c r="CA79" s="86"/>
      <c r="CB79" s="187">
        <f t="shared" si="107"/>
        <v>95981974.705673933</v>
      </c>
      <c r="CC79" s="282"/>
      <c r="CD79" s="281">
        <f t="shared" si="108"/>
        <v>95981974.705673933</v>
      </c>
      <c r="CE79" s="86"/>
      <c r="CF79" s="576">
        <f t="shared" si="95"/>
        <v>95981974.705673933</v>
      </c>
      <c r="CG79" s="86"/>
      <c r="CH79" s="86"/>
      <c r="CI79" s="86"/>
    </row>
    <row r="80" spans="1:87" ht="15" customHeight="1" x14ac:dyDescent="0.25">
      <c r="A80" s="83" t="s">
        <v>307</v>
      </c>
      <c r="B80" s="165" t="s">
        <v>138</v>
      </c>
      <c r="C80" s="590" t="s">
        <v>135</v>
      </c>
      <c r="D80" s="167">
        <v>0</v>
      </c>
      <c r="E80" s="167" t="e">
        <f t="shared" si="89"/>
        <v>#DIV/0!</v>
      </c>
      <c r="F80" s="167">
        <v>0</v>
      </c>
      <c r="G80" s="184" t="e">
        <f t="shared" si="90"/>
        <v>#DIV/0!</v>
      </c>
      <c r="H80" s="184">
        <v>0</v>
      </c>
      <c r="I80" s="167">
        <v>0</v>
      </c>
      <c r="J80" s="167" t="e">
        <f t="shared" si="91"/>
        <v>#DIV/0!</v>
      </c>
      <c r="K80" s="167">
        <v>0</v>
      </c>
      <c r="L80" s="184" t="e">
        <f t="shared" si="92"/>
        <v>#DIV/0!</v>
      </c>
      <c r="M80" s="184">
        <v>0</v>
      </c>
      <c r="N80" s="167">
        <v>0</v>
      </c>
      <c r="O80" s="167" t="e">
        <f t="shared" si="93"/>
        <v>#DIV/0!</v>
      </c>
      <c r="P80" s="167">
        <v>0</v>
      </c>
      <c r="Q80" s="184" t="e">
        <f t="shared" si="94"/>
        <v>#DIV/0!</v>
      </c>
      <c r="R80" s="184">
        <v>0</v>
      </c>
      <c r="S80" s="167">
        <v>0</v>
      </c>
      <c r="T80" s="167" t="e">
        <f t="shared" si="97"/>
        <v>#DIV/0!</v>
      </c>
      <c r="U80" s="167">
        <v>0</v>
      </c>
      <c r="V80" s="184" t="e">
        <f t="shared" si="96"/>
        <v>#DIV/0!</v>
      </c>
      <c r="W80" s="184">
        <v>0</v>
      </c>
      <c r="X80" s="167">
        <v>0</v>
      </c>
      <c r="Y80" s="167" t="e">
        <f t="shared" si="98"/>
        <v>#DIV/0!</v>
      </c>
      <c r="Z80" s="167">
        <v>0</v>
      </c>
      <c r="AA80" s="184" t="e">
        <f t="shared" si="99"/>
        <v>#DIV/0!</v>
      </c>
      <c r="AB80" s="184">
        <v>0</v>
      </c>
      <c r="AC80" s="167">
        <v>0</v>
      </c>
      <c r="AD80" s="167" t="e">
        <f t="shared" si="100"/>
        <v>#DIV/0!</v>
      </c>
      <c r="AE80" s="167">
        <v>0</v>
      </c>
      <c r="AF80" s="184" t="e">
        <f t="shared" si="101"/>
        <v>#DIV/0!</v>
      </c>
      <c r="AG80" s="184">
        <v>0</v>
      </c>
      <c r="AH80" s="167">
        <v>1</v>
      </c>
      <c r="AI80" s="167">
        <f t="shared" si="102"/>
        <v>56</v>
      </c>
      <c r="AJ80" s="167">
        <v>56</v>
      </c>
      <c r="AK80" s="184">
        <f t="shared" si="68"/>
        <v>430.75</v>
      </c>
      <c r="AL80" s="184">
        <v>24122</v>
      </c>
      <c r="AM80" s="167">
        <v>1</v>
      </c>
      <c r="AN80" s="167">
        <f t="shared" si="103"/>
        <v>340</v>
      </c>
      <c r="AO80" s="167">
        <v>340</v>
      </c>
      <c r="AP80" s="184">
        <f t="shared" si="104"/>
        <v>424.04411764705884</v>
      </c>
      <c r="AQ80" s="184">
        <v>144175</v>
      </c>
      <c r="AR80" s="167">
        <v>1</v>
      </c>
      <c r="AS80" s="167">
        <f t="shared" si="105"/>
        <v>210</v>
      </c>
      <c r="AT80" s="167">
        <v>210</v>
      </c>
      <c r="AU80" s="184">
        <f t="shared" si="106"/>
        <v>430.75</v>
      </c>
      <c r="AV80" s="184">
        <v>90457.5</v>
      </c>
      <c r="AW80" s="167">
        <f>'Factor D Back Up'!D1468</f>
        <v>1</v>
      </c>
      <c r="AX80" s="167">
        <f>'Factor D Back Up'!E1468</f>
        <v>356</v>
      </c>
      <c r="AY80" s="167">
        <f>'Factor D Back Up'!F1468</f>
        <v>356</v>
      </c>
      <c r="AZ80" s="184">
        <f>'Factor D Back Up'!G1468</f>
        <v>469.22</v>
      </c>
      <c r="BA80" s="184">
        <f>'Factor D Back Up'!H1468</f>
        <v>167042.32</v>
      </c>
      <c r="BB80" s="167">
        <f>'Factor D Back Up'!D1469</f>
        <v>1</v>
      </c>
      <c r="BC80" s="167">
        <f>'Factor D Back Up'!E1469</f>
        <v>365</v>
      </c>
      <c r="BD80" s="167">
        <f>'Factor D Back Up'!F1469</f>
        <v>365</v>
      </c>
      <c r="BE80" s="184">
        <f>'Factor D Back Up'!G1469</f>
        <v>481.41972000000004</v>
      </c>
      <c r="BF80" s="184">
        <f>'Factor D Back Up'!H1469</f>
        <v>175718.19780000002</v>
      </c>
      <c r="BG80" s="167">
        <f>'Factor D Back Up'!D1470</f>
        <v>1</v>
      </c>
      <c r="BH80" s="167">
        <f>'Factor D Back Up'!E1470</f>
        <v>365</v>
      </c>
      <c r="BI80" s="167">
        <f>'Factor D Back Up'!F1470</f>
        <v>365</v>
      </c>
      <c r="BJ80" s="184">
        <f>'Factor D Back Up'!G1470</f>
        <v>493.93663272000003</v>
      </c>
      <c r="BK80" s="184">
        <f>'Factor D Back Up'!H1470</f>
        <v>180286.87094280001</v>
      </c>
      <c r="BL80" s="167">
        <f>'Factor D Back Up'!D1471</f>
        <v>1</v>
      </c>
      <c r="BM80" s="167">
        <f>'Factor D Back Up'!E1471</f>
        <v>365</v>
      </c>
      <c r="BN80" s="167">
        <f>'Factor D Back Up'!F1471</f>
        <v>365</v>
      </c>
      <c r="BO80" s="184">
        <f>'Factor D Back Up'!G1471</f>
        <v>506.77898517072003</v>
      </c>
      <c r="BP80" s="184">
        <f>'Factor D Back Up'!H1471</f>
        <v>184974.32958731282</v>
      </c>
      <c r="BQ80" s="167">
        <f>'Factor D Back Up'!D1472</f>
        <v>1</v>
      </c>
      <c r="BR80" s="167">
        <f>'Factor D Back Up'!E1472</f>
        <v>365</v>
      </c>
      <c r="BS80" s="167">
        <f>'Factor D Back Up'!F1472</f>
        <v>365</v>
      </c>
      <c r="BT80" s="184">
        <f>'Factor D Back Up'!G1472</f>
        <v>519.95523878515871</v>
      </c>
      <c r="BU80" s="184">
        <f>'Factor D Back Up'!H1472</f>
        <v>189783.66215658293</v>
      </c>
      <c r="BV80" s="167">
        <f>'Factor D Back Up'!D1473</f>
        <v>1</v>
      </c>
      <c r="BW80" s="167">
        <f>'Factor D Back Up'!E1473</f>
        <v>365</v>
      </c>
      <c r="BX80" s="167">
        <f>'Factor D Back Up'!F1473</f>
        <v>365</v>
      </c>
      <c r="BY80" s="184">
        <f>'Factor D Back Up'!G1473</f>
        <v>533.4740749935728</v>
      </c>
      <c r="BZ80" s="184">
        <f>'Factor D Back Up'!H1473</f>
        <v>194718.03737265407</v>
      </c>
      <c r="CA80" s="86"/>
      <c r="CB80" s="187">
        <f t="shared" si="107"/>
        <v>1351277.9178593499</v>
      </c>
      <c r="CC80" s="282"/>
      <c r="CD80" s="281">
        <f t="shared" si="108"/>
        <v>1351277.9178593499</v>
      </c>
      <c r="CE80" s="86"/>
      <c r="CF80" s="576">
        <f t="shared" si="95"/>
        <v>1351277.9178593501</v>
      </c>
      <c r="CG80" s="86"/>
      <c r="CH80" s="86"/>
      <c r="CI80" s="86"/>
    </row>
    <row r="81" spans="1:87" ht="15" customHeight="1" x14ac:dyDescent="0.25">
      <c r="A81" s="83" t="s">
        <v>308</v>
      </c>
      <c r="B81" s="165" t="s">
        <v>138</v>
      </c>
      <c r="C81" s="590" t="s">
        <v>135</v>
      </c>
      <c r="D81" s="167">
        <v>0</v>
      </c>
      <c r="E81" s="167" t="e">
        <f t="shared" si="89"/>
        <v>#DIV/0!</v>
      </c>
      <c r="F81" s="167">
        <v>0</v>
      </c>
      <c r="G81" s="184" t="e">
        <f t="shared" si="90"/>
        <v>#DIV/0!</v>
      </c>
      <c r="H81" s="184">
        <v>0</v>
      </c>
      <c r="I81" s="167">
        <v>0</v>
      </c>
      <c r="J81" s="167" t="e">
        <f t="shared" si="91"/>
        <v>#DIV/0!</v>
      </c>
      <c r="K81" s="167">
        <v>0</v>
      </c>
      <c r="L81" s="184" t="e">
        <f t="shared" si="92"/>
        <v>#DIV/0!</v>
      </c>
      <c r="M81" s="184">
        <v>0</v>
      </c>
      <c r="N81" s="167">
        <v>0</v>
      </c>
      <c r="O81" s="167" t="e">
        <f t="shared" si="93"/>
        <v>#DIV/0!</v>
      </c>
      <c r="P81" s="167">
        <v>0</v>
      </c>
      <c r="Q81" s="184" t="e">
        <f t="shared" si="94"/>
        <v>#DIV/0!</v>
      </c>
      <c r="R81" s="184">
        <v>0</v>
      </c>
      <c r="S81" s="167">
        <v>0</v>
      </c>
      <c r="T81" s="167" t="e">
        <f t="shared" si="97"/>
        <v>#DIV/0!</v>
      </c>
      <c r="U81" s="167">
        <v>0</v>
      </c>
      <c r="V81" s="184" t="e">
        <f t="shared" si="96"/>
        <v>#DIV/0!</v>
      </c>
      <c r="W81" s="184">
        <v>0</v>
      </c>
      <c r="X81" s="167">
        <v>0</v>
      </c>
      <c r="Y81" s="167" t="e">
        <f t="shared" si="98"/>
        <v>#DIV/0!</v>
      </c>
      <c r="Z81" s="167">
        <v>0</v>
      </c>
      <c r="AA81" s="184" t="e">
        <f t="shared" si="99"/>
        <v>#DIV/0!</v>
      </c>
      <c r="AB81" s="184">
        <v>0</v>
      </c>
      <c r="AC81" s="167">
        <v>0</v>
      </c>
      <c r="AD81" s="167" t="e">
        <f t="shared" si="100"/>
        <v>#DIV/0!</v>
      </c>
      <c r="AE81" s="167">
        <v>0</v>
      </c>
      <c r="AF81" s="184" t="e">
        <f t="shared" si="101"/>
        <v>#DIV/0!</v>
      </c>
      <c r="AG81" s="184">
        <v>0</v>
      </c>
      <c r="AH81" s="167">
        <v>2</v>
      </c>
      <c r="AI81" s="167">
        <f t="shared" si="102"/>
        <v>145.5</v>
      </c>
      <c r="AJ81" s="167">
        <v>291</v>
      </c>
      <c r="AK81" s="184">
        <f t="shared" si="68"/>
        <v>489.0281786941581</v>
      </c>
      <c r="AL81" s="184">
        <v>142307.20000000001</v>
      </c>
      <c r="AM81" s="167">
        <v>3</v>
      </c>
      <c r="AN81" s="167">
        <f t="shared" si="103"/>
        <v>151</v>
      </c>
      <c r="AO81" s="167">
        <v>453</v>
      </c>
      <c r="AP81" s="184">
        <f t="shared" si="104"/>
        <v>500.39558498896253</v>
      </c>
      <c r="AQ81" s="184">
        <v>226679.2</v>
      </c>
      <c r="AR81" s="167">
        <v>7</v>
      </c>
      <c r="AS81" s="167">
        <f t="shared" si="105"/>
        <v>183</v>
      </c>
      <c r="AT81" s="167">
        <v>1281</v>
      </c>
      <c r="AU81" s="184">
        <f t="shared" si="106"/>
        <v>514.21415300546448</v>
      </c>
      <c r="AV81" s="184">
        <v>658708.32999999996</v>
      </c>
      <c r="AW81" s="167">
        <f>'Factor D Back Up'!D1486</f>
        <v>5</v>
      </c>
      <c r="AX81" s="167">
        <f>'Factor D Back Up'!E1486</f>
        <v>197.33333333333334</v>
      </c>
      <c r="AY81" s="167">
        <f>'Factor D Back Up'!F1486</f>
        <v>986.66666666666674</v>
      </c>
      <c r="AZ81" s="184">
        <f>'Factor D Back Up'!G1486</f>
        <v>517.49</v>
      </c>
      <c r="BA81" s="184">
        <f>'Factor D Back Up'!H1486</f>
        <v>510590.13333333336</v>
      </c>
      <c r="BB81" s="167">
        <f>'Factor D Back Up'!D1487</f>
        <v>5</v>
      </c>
      <c r="BC81" s="167">
        <f>'Factor D Back Up'!E1487</f>
        <v>216.08333333333334</v>
      </c>
      <c r="BD81" s="167">
        <f>'Factor D Back Up'!F1487</f>
        <v>1080.4166666666667</v>
      </c>
      <c r="BE81" s="184">
        <f>'Factor D Back Up'!G1487</f>
        <v>530.94474000000002</v>
      </c>
      <c r="BF81" s="184">
        <f>'Factor D Back Up'!H1487</f>
        <v>573641.54617500002</v>
      </c>
      <c r="BG81" s="167">
        <f>'Factor D Back Up'!D1488</f>
        <v>5</v>
      </c>
      <c r="BH81" s="167">
        <f>'Factor D Back Up'!E1488</f>
        <v>234.83333333333334</v>
      </c>
      <c r="BI81" s="167">
        <f>'Factor D Back Up'!F1488</f>
        <v>1174.1666666666667</v>
      </c>
      <c r="BJ81" s="184">
        <f>'Factor D Back Up'!G1488</f>
        <v>544.74930324000002</v>
      </c>
      <c r="BK81" s="184">
        <f>'Factor D Back Up'!H1488</f>
        <v>639626.47355430003</v>
      </c>
      <c r="BL81" s="167">
        <f>'Factor D Back Up'!D1489</f>
        <v>5</v>
      </c>
      <c r="BM81" s="167">
        <f>'Factor D Back Up'!E1489</f>
        <v>253.58333333333334</v>
      </c>
      <c r="BN81" s="167">
        <f>'Factor D Back Up'!F1489</f>
        <v>1267.9166666666667</v>
      </c>
      <c r="BO81" s="184">
        <f>'Factor D Back Up'!G1489</f>
        <v>558.91278512424003</v>
      </c>
      <c r="BP81" s="184">
        <f>'Factor D Back Up'!H1489</f>
        <v>708654.83547210938</v>
      </c>
      <c r="BQ81" s="167">
        <f>'Factor D Back Up'!D1490</f>
        <v>5</v>
      </c>
      <c r="BR81" s="167">
        <f>'Factor D Back Up'!E1490</f>
        <v>272.33333333333337</v>
      </c>
      <c r="BS81" s="167">
        <f>'Factor D Back Up'!F1490</f>
        <v>1361.666666666667</v>
      </c>
      <c r="BT81" s="184">
        <f>'Factor D Back Up'!G1490</f>
        <v>573.44451753747023</v>
      </c>
      <c r="BU81" s="184">
        <f>'Factor D Back Up'!H1490</f>
        <v>780840.28471352218</v>
      </c>
      <c r="BV81" s="167">
        <f>'Factor D Back Up'!D1491</f>
        <v>6</v>
      </c>
      <c r="BW81" s="167">
        <f>'Factor D Back Up'!E1491</f>
        <v>291.08333333333337</v>
      </c>
      <c r="BX81" s="167">
        <f>'Factor D Back Up'!F1491</f>
        <v>1746.5000000000002</v>
      </c>
      <c r="BY81" s="184">
        <f>'Factor D Back Up'!G1491</f>
        <v>588.35407499344444</v>
      </c>
      <c r="BZ81" s="184">
        <f>'Factor D Back Up'!H1491</f>
        <v>1027560.3919760508</v>
      </c>
      <c r="CA81" s="86"/>
      <c r="CB81" s="187">
        <f t="shared" si="107"/>
        <v>5268608.395224317</v>
      </c>
      <c r="CC81" s="282"/>
      <c r="CD81" s="281">
        <f t="shared" si="108"/>
        <v>5268608.395224317</v>
      </c>
      <c r="CE81" s="86"/>
      <c r="CF81" s="576">
        <f t="shared" si="95"/>
        <v>5268608.395224316</v>
      </c>
      <c r="CG81" s="86"/>
      <c r="CH81" s="86"/>
      <c r="CI81" s="86"/>
    </row>
    <row r="82" spans="1:87" ht="15" customHeight="1" x14ac:dyDescent="0.25">
      <c r="A82" s="83" t="s">
        <v>302</v>
      </c>
      <c r="B82" s="165" t="s">
        <v>138</v>
      </c>
      <c r="C82" s="590" t="s">
        <v>135</v>
      </c>
      <c r="D82" s="167">
        <v>0</v>
      </c>
      <c r="E82" s="167" t="e">
        <f t="shared" si="89"/>
        <v>#DIV/0!</v>
      </c>
      <c r="F82" s="167">
        <v>0</v>
      </c>
      <c r="G82" s="184" t="e">
        <f t="shared" si="90"/>
        <v>#DIV/0!</v>
      </c>
      <c r="H82" s="184">
        <v>0</v>
      </c>
      <c r="I82" s="167">
        <v>0</v>
      </c>
      <c r="J82" s="167" t="e">
        <f t="shared" si="91"/>
        <v>#DIV/0!</v>
      </c>
      <c r="K82" s="167">
        <v>0</v>
      </c>
      <c r="L82" s="184" t="e">
        <f t="shared" si="92"/>
        <v>#DIV/0!</v>
      </c>
      <c r="M82" s="184">
        <v>0</v>
      </c>
      <c r="N82" s="167">
        <v>0</v>
      </c>
      <c r="O82" s="167" t="e">
        <f t="shared" si="93"/>
        <v>#DIV/0!</v>
      </c>
      <c r="P82" s="167">
        <v>0</v>
      </c>
      <c r="Q82" s="184" t="e">
        <f t="shared" si="94"/>
        <v>#DIV/0!</v>
      </c>
      <c r="R82" s="184">
        <v>0</v>
      </c>
      <c r="S82" s="167">
        <v>0</v>
      </c>
      <c r="T82" s="167" t="e">
        <f t="shared" si="97"/>
        <v>#DIV/0!</v>
      </c>
      <c r="U82" s="167">
        <v>0</v>
      </c>
      <c r="V82" s="184" t="e">
        <f t="shared" si="96"/>
        <v>#DIV/0!</v>
      </c>
      <c r="W82" s="184">
        <v>0</v>
      </c>
      <c r="X82" s="167">
        <v>0</v>
      </c>
      <c r="Y82" s="167" t="e">
        <f t="shared" si="98"/>
        <v>#DIV/0!</v>
      </c>
      <c r="Z82" s="167">
        <v>0</v>
      </c>
      <c r="AA82" s="184" t="e">
        <f t="shared" si="99"/>
        <v>#DIV/0!</v>
      </c>
      <c r="AB82" s="184">
        <v>0</v>
      </c>
      <c r="AC82" s="167">
        <v>0</v>
      </c>
      <c r="AD82" s="167" t="e">
        <f t="shared" si="100"/>
        <v>#DIV/0!</v>
      </c>
      <c r="AE82" s="167">
        <v>0</v>
      </c>
      <c r="AF82" s="184" t="e">
        <f t="shared" si="101"/>
        <v>#DIV/0!</v>
      </c>
      <c r="AG82" s="184">
        <v>0</v>
      </c>
      <c r="AH82" s="167">
        <f>36+23</f>
        <v>59</v>
      </c>
      <c r="AI82" s="167">
        <f t="shared" si="102"/>
        <v>104.94915254237289</v>
      </c>
      <c r="AJ82" s="167">
        <f>2643+3549</f>
        <v>6192</v>
      </c>
      <c r="AK82" s="184">
        <f t="shared" si="68"/>
        <v>524.22079618863052</v>
      </c>
      <c r="AL82" s="184">
        <f>1860840.67+1385134.5</f>
        <v>3245975.17</v>
      </c>
      <c r="AM82" s="167">
        <f>62+21</f>
        <v>83</v>
      </c>
      <c r="AN82" s="167">
        <f t="shared" si="103"/>
        <v>246.68674698795181</v>
      </c>
      <c r="AO82" s="167">
        <f>5404+15071</f>
        <v>20475</v>
      </c>
      <c r="AP82" s="184">
        <f t="shared" si="104"/>
        <v>552.03103931623923</v>
      </c>
      <c r="AQ82" s="184">
        <f>8309957.75+2992877.78</f>
        <v>11302835.529999999</v>
      </c>
      <c r="AR82" s="167">
        <f>90+23</f>
        <v>113</v>
      </c>
      <c r="AS82" s="167">
        <f t="shared" si="105"/>
        <v>246.25663716814159</v>
      </c>
      <c r="AT82" s="167">
        <f>5543+22284</f>
        <v>27827</v>
      </c>
      <c r="AU82" s="184">
        <f t="shared" si="106"/>
        <v>564.83083875372836</v>
      </c>
      <c r="AV82" s="184">
        <f>12641566.61+3075981.14</f>
        <v>15717547.75</v>
      </c>
      <c r="AW82" s="167">
        <f>'Factor D Back Up'!D1504</f>
        <v>79</v>
      </c>
      <c r="AX82" s="167">
        <f>'Factor D Back Up'!E1504</f>
        <v>340.60499685859088</v>
      </c>
      <c r="AY82" s="167">
        <f>'Factor D Back Up'!F1504</f>
        <v>26907.794751828678</v>
      </c>
      <c r="AZ82" s="184">
        <f>'Factor D Back Up'!G1504</f>
        <v>593.24</v>
      </c>
      <c r="BA82" s="184">
        <f>'Factor D Back Up'!H1504</f>
        <v>15962780.158574846</v>
      </c>
      <c r="BB82" s="167">
        <f>'Factor D Back Up'!D1505</f>
        <v>82</v>
      </c>
      <c r="BC82" s="167">
        <f>'Factor D Back Up'!E1505</f>
        <v>365</v>
      </c>
      <c r="BD82" s="167">
        <f>'Factor D Back Up'!F1505</f>
        <v>29930</v>
      </c>
      <c r="BE82" s="184">
        <f>'Factor D Back Up'!G1505</f>
        <v>608.66424000000006</v>
      </c>
      <c r="BF82" s="184">
        <f>'Factor D Back Up'!H1505</f>
        <v>18217320.703200001</v>
      </c>
      <c r="BG82" s="167">
        <f>'Factor D Back Up'!D1506</f>
        <v>85</v>
      </c>
      <c r="BH82" s="167">
        <f>'Factor D Back Up'!E1506</f>
        <v>365</v>
      </c>
      <c r="BI82" s="167">
        <f>'Factor D Back Up'!F1506</f>
        <v>31025</v>
      </c>
      <c r="BJ82" s="184">
        <f>'Factor D Back Up'!G1506</f>
        <v>624.48951024000007</v>
      </c>
      <c r="BK82" s="184">
        <f>'Factor D Back Up'!H1506</f>
        <v>19374787.055196002</v>
      </c>
      <c r="BL82" s="167">
        <f>'Factor D Back Up'!D1507</f>
        <v>86</v>
      </c>
      <c r="BM82" s="167">
        <f>'Factor D Back Up'!E1507</f>
        <v>365</v>
      </c>
      <c r="BN82" s="167">
        <f>'Factor D Back Up'!F1507</f>
        <v>31390</v>
      </c>
      <c r="BO82" s="184">
        <f>'Factor D Back Up'!G1507</f>
        <v>640.72623750624007</v>
      </c>
      <c r="BP82" s="184">
        <f>'Factor D Back Up'!H1507</f>
        <v>20112396.595320877</v>
      </c>
      <c r="BQ82" s="167">
        <f>'Factor D Back Up'!D1508</f>
        <v>87</v>
      </c>
      <c r="BR82" s="167">
        <f>'Factor D Back Up'!E1508</f>
        <v>365</v>
      </c>
      <c r="BS82" s="167">
        <f>'Factor D Back Up'!F1508</f>
        <v>31755</v>
      </c>
      <c r="BT82" s="184">
        <f>'Factor D Back Up'!G1508</f>
        <v>657.38511968140233</v>
      </c>
      <c r="BU82" s="184">
        <f>'Factor D Back Up'!H1508</f>
        <v>20875264.475482929</v>
      </c>
      <c r="BV82" s="167">
        <f>'Factor D Back Up'!D1509</f>
        <v>89</v>
      </c>
      <c r="BW82" s="167">
        <f>'Factor D Back Up'!E1509</f>
        <v>365</v>
      </c>
      <c r="BX82" s="167">
        <f>'Factor D Back Up'!F1509</f>
        <v>32485</v>
      </c>
      <c r="BY82" s="184">
        <f>'Factor D Back Up'!G1509</f>
        <v>674.47713279311881</v>
      </c>
      <c r="BZ82" s="184">
        <f>'Factor D Back Up'!H1509</f>
        <v>21910389.658784464</v>
      </c>
      <c r="CA82" s="86"/>
      <c r="CB82" s="187">
        <f t="shared" si="107"/>
        <v>146719297.09655911</v>
      </c>
      <c r="CC82" s="282"/>
      <c r="CD82" s="281">
        <f t="shared" si="108"/>
        <v>146719297.09655911</v>
      </c>
      <c r="CE82" s="86"/>
      <c r="CF82" s="576">
        <f t="shared" si="95"/>
        <v>146719297.09655911</v>
      </c>
      <c r="CG82" s="86"/>
      <c r="CH82" s="86"/>
      <c r="CI82" s="86"/>
    </row>
    <row r="83" spans="1:87" s="17" customFormat="1" ht="15" customHeight="1" x14ac:dyDescent="0.25">
      <c r="A83" s="83" t="s">
        <v>326</v>
      </c>
      <c r="B83" s="165" t="s">
        <v>138</v>
      </c>
      <c r="C83" s="590" t="s">
        <v>135</v>
      </c>
      <c r="D83" s="167">
        <v>0</v>
      </c>
      <c r="E83" s="167" t="e">
        <f t="shared" si="89"/>
        <v>#DIV/0!</v>
      </c>
      <c r="F83" s="167">
        <v>0</v>
      </c>
      <c r="G83" s="184" t="e">
        <f t="shared" si="90"/>
        <v>#DIV/0!</v>
      </c>
      <c r="H83" s="184">
        <v>0</v>
      </c>
      <c r="I83" s="167">
        <v>0</v>
      </c>
      <c r="J83" s="167" t="e">
        <f t="shared" si="91"/>
        <v>#DIV/0!</v>
      </c>
      <c r="K83" s="167">
        <v>0</v>
      </c>
      <c r="L83" s="184" t="e">
        <f t="shared" si="92"/>
        <v>#DIV/0!</v>
      </c>
      <c r="M83" s="184">
        <v>0</v>
      </c>
      <c r="N83" s="167">
        <v>0</v>
      </c>
      <c r="O83" s="167" t="e">
        <f t="shared" si="93"/>
        <v>#DIV/0!</v>
      </c>
      <c r="P83" s="167">
        <v>0</v>
      </c>
      <c r="Q83" s="184" t="e">
        <f t="shared" si="94"/>
        <v>#DIV/0!</v>
      </c>
      <c r="R83" s="184">
        <v>0</v>
      </c>
      <c r="S83" s="167">
        <v>0</v>
      </c>
      <c r="T83" s="167" t="e">
        <f t="shared" si="97"/>
        <v>#DIV/0!</v>
      </c>
      <c r="U83" s="167">
        <v>0</v>
      </c>
      <c r="V83" s="184" t="e">
        <f t="shared" si="96"/>
        <v>#DIV/0!</v>
      </c>
      <c r="W83" s="184">
        <v>0</v>
      </c>
      <c r="X83" s="167">
        <v>0</v>
      </c>
      <c r="Y83" s="167" t="e">
        <f t="shared" si="98"/>
        <v>#DIV/0!</v>
      </c>
      <c r="Z83" s="167">
        <v>0</v>
      </c>
      <c r="AA83" s="184" t="e">
        <f t="shared" si="99"/>
        <v>#DIV/0!</v>
      </c>
      <c r="AB83" s="184">
        <v>0</v>
      </c>
      <c r="AC83" s="167">
        <v>0</v>
      </c>
      <c r="AD83" s="167" t="e">
        <f t="shared" si="100"/>
        <v>#DIV/0!</v>
      </c>
      <c r="AE83" s="167">
        <v>0</v>
      </c>
      <c r="AF83" s="184" t="e">
        <f t="shared" si="101"/>
        <v>#DIV/0!</v>
      </c>
      <c r="AG83" s="184">
        <v>0</v>
      </c>
      <c r="AH83" s="167">
        <v>2</v>
      </c>
      <c r="AI83" s="167">
        <f t="shared" si="102"/>
        <v>132.5</v>
      </c>
      <c r="AJ83" s="167">
        <v>265</v>
      </c>
      <c r="AK83" s="184">
        <f t="shared" si="68"/>
        <v>554.26849056603771</v>
      </c>
      <c r="AL83" s="184">
        <v>146881.15</v>
      </c>
      <c r="AM83" s="167">
        <v>1</v>
      </c>
      <c r="AN83" s="167">
        <f t="shared" si="103"/>
        <v>146</v>
      </c>
      <c r="AO83" s="167">
        <v>146</v>
      </c>
      <c r="AP83" s="184">
        <f t="shared" si="104"/>
        <v>583.44890410958897</v>
      </c>
      <c r="AQ83" s="184">
        <v>85183.54</v>
      </c>
      <c r="AR83" s="167">
        <v>0</v>
      </c>
      <c r="AS83" s="167" t="e">
        <f t="shared" si="105"/>
        <v>#DIV/0!</v>
      </c>
      <c r="AT83" s="167">
        <v>0</v>
      </c>
      <c r="AU83" s="184" t="e">
        <f t="shared" si="106"/>
        <v>#DIV/0!</v>
      </c>
      <c r="AV83" s="184">
        <v>0</v>
      </c>
      <c r="AW83" s="167">
        <f>'Factor D Back Up'!D1522</f>
        <v>1</v>
      </c>
      <c r="AX83" s="167">
        <f>'Factor D Back Up'!E1522</f>
        <v>173</v>
      </c>
      <c r="AY83" s="167">
        <f>'Factor D Back Up'!F1522</f>
        <v>173</v>
      </c>
      <c r="AZ83" s="184">
        <f>'Factor D Back Up'!G1522</f>
        <v>740.93</v>
      </c>
      <c r="BA83" s="184">
        <f>'Factor D Back Up'!H1522</f>
        <v>128180.88999999998</v>
      </c>
      <c r="BB83" s="167">
        <f>'Factor D Back Up'!D1523</f>
        <v>1</v>
      </c>
      <c r="BC83" s="167">
        <f>'Factor D Back Up'!E1523</f>
        <v>186.5</v>
      </c>
      <c r="BD83" s="167">
        <f>'Factor D Back Up'!F1523</f>
        <v>186.5</v>
      </c>
      <c r="BE83" s="184">
        <f>'Factor D Back Up'!G1523</f>
        <v>760.19417999999996</v>
      </c>
      <c r="BF83" s="184">
        <f>'Factor D Back Up'!H1523</f>
        <v>141776.21456999998</v>
      </c>
      <c r="BG83" s="167">
        <f>'Factor D Back Up'!D1524</f>
        <v>1</v>
      </c>
      <c r="BH83" s="167">
        <f>'Factor D Back Up'!E1524</f>
        <v>200</v>
      </c>
      <c r="BI83" s="167">
        <f>'Factor D Back Up'!F1524</f>
        <v>200</v>
      </c>
      <c r="BJ83" s="184">
        <f>'Factor D Back Up'!G1524</f>
        <v>779.95922867999991</v>
      </c>
      <c r="BK83" s="184">
        <f>'Factor D Back Up'!H1524</f>
        <v>155991.84573599999</v>
      </c>
      <c r="BL83" s="167">
        <f>'Factor D Back Up'!D1525</f>
        <v>1</v>
      </c>
      <c r="BM83" s="167">
        <f>'Factor D Back Up'!E1525</f>
        <v>213.5</v>
      </c>
      <c r="BN83" s="167">
        <f>'Factor D Back Up'!F1525</f>
        <v>213.5</v>
      </c>
      <c r="BO83" s="184">
        <f>'Factor D Back Up'!G1525</f>
        <v>800.23816862567992</v>
      </c>
      <c r="BP83" s="184">
        <f>'Factor D Back Up'!H1525</f>
        <v>170850.84900158265</v>
      </c>
      <c r="BQ83" s="167">
        <f>'Factor D Back Up'!D1526</f>
        <v>1</v>
      </c>
      <c r="BR83" s="167">
        <f>'Factor D Back Up'!E1526</f>
        <v>227</v>
      </c>
      <c r="BS83" s="167">
        <f>'Factor D Back Up'!F1526</f>
        <v>227</v>
      </c>
      <c r="BT83" s="184">
        <f>'Factor D Back Up'!G1526</f>
        <v>821.04436100994758</v>
      </c>
      <c r="BU83" s="184">
        <f>'Factor D Back Up'!H1526</f>
        <v>186377.06994925809</v>
      </c>
      <c r="BV83" s="167">
        <f>'Factor D Back Up'!D1527</f>
        <v>1</v>
      </c>
      <c r="BW83" s="167">
        <f>'Factor D Back Up'!E1527</f>
        <v>240.5</v>
      </c>
      <c r="BX83" s="167">
        <f>'Factor D Back Up'!F1527</f>
        <v>240.5</v>
      </c>
      <c r="BY83" s="184">
        <f>'Factor D Back Up'!G1527</f>
        <v>842.39151439620616</v>
      </c>
      <c r="BZ83" s="184">
        <f>'Factor D Back Up'!H1527</f>
        <v>202595.15921228757</v>
      </c>
      <c r="CA83" s="77"/>
      <c r="CB83" s="187">
        <f t="shared" si="107"/>
        <v>1217836.7184691282</v>
      </c>
      <c r="CC83" s="283"/>
      <c r="CD83" s="281">
        <f t="shared" si="108"/>
        <v>1217836.7184691282</v>
      </c>
      <c r="CE83" s="77"/>
      <c r="CF83" s="576">
        <f t="shared" si="95"/>
        <v>1217836.7184691282</v>
      </c>
      <c r="CG83" s="77"/>
      <c r="CH83" s="77"/>
      <c r="CI83" s="77"/>
    </row>
    <row r="84" spans="1:87" ht="15" customHeight="1" x14ac:dyDescent="0.25">
      <c r="A84" s="83" t="s">
        <v>327</v>
      </c>
      <c r="B84" s="165" t="s">
        <v>138</v>
      </c>
      <c r="C84" s="590" t="s">
        <v>135</v>
      </c>
      <c r="D84" s="167">
        <v>0</v>
      </c>
      <c r="E84" s="167" t="e">
        <f t="shared" si="89"/>
        <v>#DIV/0!</v>
      </c>
      <c r="F84" s="167">
        <v>0</v>
      </c>
      <c r="G84" s="184" t="e">
        <f t="shared" si="90"/>
        <v>#DIV/0!</v>
      </c>
      <c r="H84" s="184">
        <v>0</v>
      </c>
      <c r="I84" s="167">
        <v>0</v>
      </c>
      <c r="J84" s="167" t="e">
        <f t="shared" si="91"/>
        <v>#DIV/0!</v>
      </c>
      <c r="K84" s="167">
        <v>0</v>
      </c>
      <c r="L84" s="184" t="e">
        <f t="shared" si="92"/>
        <v>#DIV/0!</v>
      </c>
      <c r="M84" s="184">
        <v>0</v>
      </c>
      <c r="N84" s="167">
        <v>0</v>
      </c>
      <c r="O84" s="167" t="e">
        <f t="shared" si="93"/>
        <v>#DIV/0!</v>
      </c>
      <c r="P84" s="167">
        <v>0</v>
      </c>
      <c r="Q84" s="184" t="e">
        <f t="shared" si="94"/>
        <v>#DIV/0!</v>
      </c>
      <c r="R84" s="184">
        <v>0</v>
      </c>
      <c r="S84" s="167">
        <v>0</v>
      </c>
      <c r="T84" s="167" t="e">
        <f t="shared" si="97"/>
        <v>#DIV/0!</v>
      </c>
      <c r="U84" s="167">
        <v>0</v>
      </c>
      <c r="V84" s="184" t="e">
        <f t="shared" si="96"/>
        <v>#DIV/0!</v>
      </c>
      <c r="W84" s="184">
        <v>0</v>
      </c>
      <c r="X84" s="167">
        <v>0</v>
      </c>
      <c r="Y84" s="167" t="e">
        <f t="shared" si="98"/>
        <v>#DIV/0!</v>
      </c>
      <c r="Z84" s="167">
        <v>0</v>
      </c>
      <c r="AA84" s="184" t="e">
        <f t="shared" si="99"/>
        <v>#DIV/0!</v>
      </c>
      <c r="AB84" s="184">
        <v>0</v>
      </c>
      <c r="AC84" s="167">
        <v>0</v>
      </c>
      <c r="AD84" s="167" t="e">
        <f t="shared" si="100"/>
        <v>#DIV/0!</v>
      </c>
      <c r="AE84" s="167">
        <v>0</v>
      </c>
      <c r="AF84" s="184" t="e">
        <f t="shared" si="101"/>
        <v>#DIV/0!</v>
      </c>
      <c r="AG84" s="184">
        <v>0</v>
      </c>
      <c r="AH84" s="167">
        <v>13</v>
      </c>
      <c r="AI84" s="167">
        <f t="shared" si="102"/>
        <v>54.384615384615387</v>
      </c>
      <c r="AJ84" s="167">
        <v>707</v>
      </c>
      <c r="AK84" s="184">
        <f t="shared" si="68"/>
        <v>616.39454031117396</v>
      </c>
      <c r="AL84" s="184">
        <v>435790.94</v>
      </c>
      <c r="AM84" s="167">
        <v>22</v>
      </c>
      <c r="AN84" s="167">
        <f t="shared" si="103"/>
        <v>222.72727272727272</v>
      </c>
      <c r="AO84" s="167">
        <v>4900</v>
      </c>
      <c r="AP84" s="184">
        <f t="shared" si="104"/>
        <v>643.02719999999999</v>
      </c>
      <c r="AQ84" s="184">
        <v>3150833.28</v>
      </c>
      <c r="AR84" s="167">
        <v>28</v>
      </c>
      <c r="AS84" s="167">
        <f t="shared" si="105"/>
        <v>237.53571428571428</v>
      </c>
      <c r="AT84" s="167">
        <v>6651</v>
      </c>
      <c r="AU84" s="184">
        <f t="shared" si="106"/>
        <v>675.78135017290629</v>
      </c>
      <c r="AV84" s="184">
        <v>4494621.76</v>
      </c>
      <c r="AW84" s="167">
        <f>'Factor D Back Up'!D1540</f>
        <v>38</v>
      </c>
      <c r="AX84" s="167">
        <f>'Factor D Back Up'!E1540</f>
        <v>354.70029970029964</v>
      </c>
      <c r="AY84" s="167">
        <f>'Factor D Back Up'!F1540</f>
        <v>13478.611388611385</v>
      </c>
      <c r="AZ84" s="184">
        <f>'Factor D Back Up'!G1540</f>
        <v>760.15</v>
      </c>
      <c r="BA84" s="184">
        <f>'Factor D Back Up'!H1540</f>
        <v>10245766.447052944</v>
      </c>
      <c r="BB84" s="167">
        <f>'Factor D Back Up'!D1541</f>
        <v>20</v>
      </c>
      <c r="BC84" s="167">
        <f>'Factor D Back Up'!E1541</f>
        <v>365</v>
      </c>
      <c r="BD84" s="167">
        <f>'Factor D Back Up'!F1541</f>
        <v>7300</v>
      </c>
      <c r="BE84" s="184">
        <f>'Factor D Back Up'!G1541</f>
        <v>779.91390000000001</v>
      </c>
      <c r="BF84" s="184">
        <f>'Factor D Back Up'!H1541</f>
        <v>5693371.4699999997</v>
      </c>
      <c r="BG84" s="167">
        <f>'Factor D Back Up'!D1542</f>
        <v>21</v>
      </c>
      <c r="BH84" s="167">
        <f>'Factor D Back Up'!E1542</f>
        <v>365</v>
      </c>
      <c r="BI84" s="167">
        <f>'Factor D Back Up'!F1542</f>
        <v>7665</v>
      </c>
      <c r="BJ84" s="184">
        <f>'Factor D Back Up'!G1542</f>
        <v>800.19166140000004</v>
      </c>
      <c r="BK84" s="184">
        <f>'Factor D Back Up'!H1542</f>
        <v>6133469.0846310006</v>
      </c>
      <c r="BL84" s="167">
        <f>'Factor D Back Up'!D1543</f>
        <v>21</v>
      </c>
      <c r="BM84" s="167">
        <f>'Factor D Back Up'!E1543</f>
        <v>365</v>
      </c>
      <c r="BN84" s="167">
        <f>'Factor D Back Up'!F1543</f>
        <v>7665</v>
      </c>
      <c r="BO84" s="184">
        <f>'Factor D Back Up'!G1543</f>
        <v>820.99664459640007</v>
      </c>
      <c r="BP84" s="184">
        <f>'Factor D Back Up'!H1543</f>
        <v>6292939.2808314068</v>
      </c>
      <c r="BQ84" s="167">
        <f>'Factor D Back Up'!D1544</f>
        <v>22</v>
      </c>
      <c r="BR84" s="167">
        <f>'Factor D Back Up'!E1544</f>
        <v>365</v>
      </c>
      <c r="BS84" s="167">
        <f>'Factor D Back Up'!F1544</f>
        <v>8030</v>
      </c>
      <c r="BT84" s="184">
        <f>'Factor D Back Up'!G1544</f>
        <v>842.34255735590648</v>
      </c>
      <c r="BU84" s="184">
        <f>'Factor D Back Up'!H1544</f>
        <v>6764010.7355679292</v>
      </c>
      <c r="BV84" s="167">
        <f>'Factor D Back Up'!D1545</f>
        <v>22</v>
      </c>
      <c r="BW84" s="167">
        <f>'Factor D Back Up'!E1545</f>
        <v>365</v>
      </c>
      <c r="BX84" s="167">
        <f>'Factor D Back Up'!F1545</f>
        <v>8030</v>
      </c>
      <c r="BY84" s="184">
        <f>'Factor D Back Up'!G1545</f>
        <v>864.24346384716</v>
      </c>
      <c r="BZ84" s="184">
        <f>'Factor D Back Up'!H1545</f>
        <v>6939875.0146926949</v>
      </c>
      <c r="CA84" s="86"/>
      <c r="CB84" s="187">
        <f t="shared" si="107"/>
        <v>50150678.012775972</v>
      </c>
      <c r="CC84" s="282"/>
      <c r="CD84" s="281">
        <f t="shared" si="108"/>
        <v>50150678.012775972</v>
      </c>
      <c r="CE84" s="86"/>
      <c r="CF84" s="576">
        <f t="shared" si="95"/>
        <v>50150678.012775972</v>
      </c>
      <c r="CG84" s="86"/>
      <c r="CH84" s="86"/>
      <c r="CI84" s="86"/>
    </row>
    <row r="85" spans="1:87" ht="15" customHeight="1" x14ac:dyDescent="0.25">
      <c r="A85" s="81" t="s">
        <v>295</v>
      </c>
      <c r="B85" s="165" t="s">
        <v>138</v>
      </c>
      <c r="C85" s="590" t="s">
        <v>135</v>
      </c>
      <c r="D85" s="167">
        <v>28</v>
      </c>
      <c r="E85" s="167">
        <f t="shared" ref="E85:E113" si="109">F85/D85</f>
        <v>284.21428571428572</v>
      </c>
      <c r="F85" s="167">
        <v>7958</v>
      </c>
      <c r="G85" s="184">
        <f t="shared" ref="G85:G94" si="110">H85/F85</f>
        <v>217</v>
      </c>
      <c r="H85" s="184">
        <v>1726886</v>
      </c>
      <c r="I85" s="167">
        <v>24</v>
      </c>
      <c r="J85" s="167">
        <f t="shared" ref="J85:J113" si="111">K85/I85</f>
        <v>326.29166666666669</v>
      </c>
      <c r="K85" s="167">
        <v>7831</v>
      </c>
      <c r="L85" s="184">
        <f t="shared" ref="L85:L94" si="112">M85/K85</f>
        <v>217</v>
      </c>
      <c r="M85" s="184">
        <v>1699327</v>
      </c>
      <c r="N85" s="167">
        <v>24</v>
      </c>
      <c r="O85" s="167">
        <f t="shared" ref="O85:O113" si="113">P85/N85</f>
        <v>261.41666666666669</v>
      </c>
      <c r="P85" s="167">
        <v>6274</v>
      </c>
      <c r="Q85" s="184">
        <f t="shared" ref="Q85:Q94" si="114">R85/P85</f>
        <v>217</v>
      </c>
      <c r="R85" s="184">
        <v>1361458</v>
      </c>
      <c r="S85" s="167">
        <v>23</v>
      </c>
      <c r="T85" s="167">
        <f t="shared" ref="T85:T114" si="115">U85/S85</f>
        <v>222.47826086956522</v>
      </c>
      <c r="U85" s="167">
        <v>5117</v>
      </c>
      <c r="V85" s="184">
        <f t="shared" si="67"/>
        <v>217</v>
      </c>
      <c r="W85" s="184">
        <v>1110389</v>
      </c>
      <c r="X85" s="167">
        <v>15</v>
      </c>
      <c r="Y85" s="167">
        <f t="shared" ref="Y85:Y114" si="116">Z85/X85</f>
        <v>318.66666666666669</v>
      </c>
      <c r="Z85" s="167">
        <v>4780</v>
      </c>
      <c r="AA85" s="184">
        <f t="shared" ref="AA85:AA107" si="117">AB85/Z85</f>
        <v>217</v>
      </c>
      <c r="AB85" s="184">
        <v>1037260</v>
      </c>
      <c r="AC85" s="167">
        <v>36</v>
      </c>
      <c r="AD85" s="167">
        <f t="shared" ref="AD85:AD107" si="118">AE85/AC85</f>
        <v>142.5</v>
      </c>
      <c r="AE85" s="167">
        <v>5130</v>
      </c>
      <c r="AF85" s="184">
        <f t="shared" ref="AF85:AF107" si="119">AG85/AE85</f>
        <v>227.33684210526314</v>
      </c>
      <c r="AG85" s="184">
        <v>1166238</v>
      </c>
      <c r="AH85" s="167">
        <v>27</v>
      </c>
      <c r="AI85" s="167">
        <f t="shared" si="102"/>
        <v>122.70370370370371</v>
      </c>
      <c r="AJ85" s="167">
        <v>3313</v>
      </c>
      <c r="AK85" s="184">
        <f t="shared" si="68"/>
        <v>228.91048596438273</v>
      </c>
      <c r="AL85" s="184">
        <v>758380.44</v>
      </c>
      <c r="AM85" s="167">
        <v>12</v>
      </c>
      <c r="AN85" s="167">
        <f t="shared" si="103"/>
        <v>185.25</v>
      </c>
      <c r="AO85" s="167">
        <v>2223</v>
      </c>
      <c r="AP85" s="184">
        <f t="shared" si="104"/>
        <v>241.44985155195681</v>
      </c>
      <c r="AQ85" s="184">
        <v>536743.02</v>
      </c>
      <c r="AR85" s="167">
        <v>17</v>
      </c>
      <c r="AS85" s="167">
        <f t="shared" si="105"/>
        <v>186.88235294117646</v>
      </c>
      <c r="AT85" s="167">
        <v>3177</v>
      </c>
      <c r="AU85" s="184">
        <f t="shared" si="106"/>
        <v>251.28224425558702</v>
      </c>
      <c r="AV85" s="184">
        <v>798323.69</v>
      </c>
      <c r="AW85" s="167">
        <f>'Factor D Back Up'!D1090</f>
        <v>14</v>
      </c>
      <c r="AX85" s="167">
        <f>'Factor D Back Up'!E1090</f>
        <v>130.33454609030949</v>
      </c>
      <c r="AY85" s="167">
        <f>'Factor D Back Up'!F1090</f>
        <v>1824.6836452643329</v>
      </c>
      <c r="AZ85" s="184">
        <f>'Factor D Back Up'!G1090</f>
        <v>268.70999999999998</v>
      </c>
      <c r="BA85" s="184">
        <f>'Factor D Back Up'!H1090</f>
        <v>490310.74231897882</v>
      </c>
      <c r="BB85" s="167">
        <f>'Factor D Back Up'!D1091</f>
        <v>14</v>
      </c>
      <c r="BC85" s="167">
        <f>'Factor D Back Up'!E1091</f>
        <v>110.83693079217736</v>
      </c>
      <c r="BD85" s="167">
        <f>'Factor D Back Up'!F1091</f>
        <v>1551.717031090483</v>
      </c>
      <c r="BE85" s="184">
        <f>'Factor D Back Up'!G1091</f>
        <v>275.69646</v>
      </c>
      <c r="BF85" s="184">
        <f>'Factor D Back Up'!H1091</f>
        <v>427802.89239335613</v>
      </c>
      <c r="BG85" s="167">
        <f>'Factor D Back Up'!D1092</f>
        <v>13</v>
      </c>
      <c r="BH85" s="167">
        <f>'Factor D Back Up'!E1092</f>
        <v>91.339315494045195</v>
      </c>
      <c r="BI85" s="167">
        <f>'Factor D Back Up'!F1092</f>
        <v>1187.4111014225875</v>
      </c>
      <c r="BJ85" s="184">
        <f>'Factor D Back Up'!G1092</f>
        <v>282.86456795999999</v>
      </c>
      <c r="BK85" s="184">
        <f>'Factor D Back Up'!H1092</f>
        <v>335876.52819480794</v>
      </c>
      <c r="BL85" s="167">
        <f>'Factor D Back Up'!D1093</f>
        <v>13</v>
      </c>
      <c r="BM85" s="167">
        <f>'Factor D Back Up'!E1093</f>
        <v>71.841700195913063</v>
      </c>
      <c r="BN85" s="167">
        <f>'Factor D Back Up'!F1093</f>
        <v>933.94210254686982</v>
      </c>
      <c r="BO85" s="184">
        <f>'Factor D Back Up'!G1093</f>
        <v>290.21904672695996</v>
      </c>
      <c r="BP85" s="184">
        <f>'Factor D Back Up'!H1093</f>
        <v>271047.78669932525</v>
      </c>
      <c r="BQ85" s="167">
        <f>'Factor D Back Up'!D1094</f>
        <v>13</v>
      </c>
      <c r="BR85" s="167">
        <f>'Factor D Back Up'!E1094</f>
        <v>52.344084897780931</v>
      </c>
      <c r="BS85" s="167">
        <f>'Factor D Back Up'!F1094</f>
        <v>680.4731036711521</v>
      </c>
      <c r="BT85" s="184">
        <f>'Factor D Back Up'!G1094</f>
        <v>297.7647419418609</v>
      </c>
      <c r="BU85" s="184">
        <f>'Factor D Back Up'!H1094</f>
        <v>202620.89811301776</v>
      </c>
      <c r="BV85" s="167">
        <f>'Factor D Back Up'!D1095</f>
        <v>13</v>
      </c>
      <c r="BW85" s="167">
        <f>'Factor D Back Up'!E1095</f>
        <v>32.846469599648799</v>
      </c>
      <c r="BX85" s="167">
        <f>'Factor D Back Up'!F1095</f>
        <v>427.00410479543439</v>
      </c>
      <c r="BY85" s="184">
        <f>'Factor D Back Up'!G1095</f>
        <v>305.50662523234928</v>
      </c>
      <c r="BZ85" s="184">
        <f>'Factor D Back Up'!H1095</f>
        <v>130452.58301641357</v>
      </c>
      <c r="CA85" s="86"/>
      <c r="CB85" s="187">
        <f t="shared" si="107"/>
        <v>7265445.5807358995</v>
      </c>
      <c r="CC85" s="282">
        <f>+'linked - DO NOT USE or DELETE'!H70+'linked - DO NOT USE or DELETE'!M70+'linked - DO NOT USE or DELETE'!R70</f>
        <v>4787671</v>
      </c>
      <c r="CD85" s="281">
        <f t="shared" si="108"/>
        <v>12053116.5807359</v>
      </c>
      <c r="CE85" s="86"/>
      <c r="CF85" s="576">
        <f t="shared" si="95"/>
        <v>12053116.580735898</v>
      </c>
      <c r="CG85" s="86"/>
      <c r="CH85" s="86"/>
      <c r="CI85" s="86"/>
    </row>
    <row r="86" spans="1:87" ht="15" customHeight="1" x14ac:dyDescent="0.25">
      <c r="A86" s="81" t="s">
        <v>294</v>
      </c>
      <c r="B86" s="165" t="s">
        <v>138</v>
      </c>
      <c r="C86" s="590" t="s">
        <v>135</v>
      </c>
      <c r="D86" s="167">
        <v>18</v>
      </c>
      <c r="E86" s="167">
        <f t="shared" si="109"/>
        <v>288.77777777777777</v>
      </c>
      <c r="F86" s="167">
        <v>5198</v>
      </c>
      <c r="G86" s="184">
        <f t="shared" si="110"/>
        <v>343.99923047325893</v>
      </c>
      <c r="H86" s="184">
        <v>1788108</v>
      </c>
      <c r="I86" s="167">
        <v>19</v>
      </c>
      <c r="J86" s="167">
        <f t="shared" si="111"/>
        <v>264.68421052631578</v>
      </c>
      <c r="K86" s="167">
        <v>5029</v>
      </c>
      <c r="L86" s="184">
        <f t="shared" si="112"/>
        <v>343.52596540067611</v>
      </c>
      <c r="M86" s="184">
        <v>1727592.08</v>
      </c>
      <c r="N86" s="167">
        <v>24</v>
      </c>
      <c r="O86" s="167">
        <f t="shared" si="113"/>
        <v>295.375</v>
      </c>
      <c r="P86" s="167">
        <v>7089</v>
      </c>
      <c r="Q86" s="184">
        <f t="shared" si="114"/>
        <v>344</v>
      </c>
      <c r="R86" s="184">
        <v>2438616</v>
      </c>
      <c r="S86" s="167">
        <v>26</v>
      </c>
      <c r="T86" s="167">
        <f t="shared" si="115"/>
        <v>256.84615384615387</v>
      </c>
      <c r="U86" s="167">
        <v>6678</v>
      </c>
      <c r="V86" s="184">
        <f t="shared" si="67"/>
        <v>344</v>
      </c>
      <c r="W86" s="184">
        <v>2297232</v>
      </c>
      <c r="X86" s="167">
        <v>26</v>
      </c>
      <c r="Y86" s="167">
        <f t="shared" si="116"/>
        <v>245.26923076923077</v>
      </c>
      <c r="Z86" s="167">
        <v>6377</v>
      </c>
      <c r="AA86" s="184">
        <f t="shared" si="117"/>
        <v>344</v>
      </c>
      <c r="AB86" s="184">
        <v>2193688</v>
      </c>
      <c r="AC86" s="167">
        <v>37</v>
      </c>
      <c r="AD86" s="167">
        <f t="shared" si="118"/>
        <v>144.24324324324326</v>
      </c>
      <c r="AE86" s="167">
        <v>5337</v>
      </c>
      <c r="AF86" s="184">
        <f t="shared" si="119"/>
        <v>359.94004122166012</v>
      </c>
      <c r="AG86" s="184">
        <v>1921000</v>
      </c>
      <c r="AH86" s="167">
        <v>36</v>
      </c>
      <c r="AI86" s="167">
        <f t="shared" si="102"/>
        <v>167.77777777777777</v>
      </c>
      <c r="AJ86" s="167">
        <v>6040</v>
      </c>
      <c r="AK86" s="184">
        <f t="shared" si="68"/>
        <v>363.92889900662249</v>
      </c>
      <c r="AL86" s="184">
        <v>2198130.5499999998</v>
      </c>
      <c r="AM86" s="167">
        <v>15</v>
      </c>
      <c r="AN86" s="167">
        <f t="shared" si="103"/>
        <v>320.46666666666664</v>
      </c>
      <c r="AO86" s="167">
        <v>4807</v>
      </c>
      <c r="AP86" s="184">
        <f t="shared" si="104"/>
        <v>390.23</v>
      </c>
      <c r="AQ86" s="184">
        <v>1875835.61</v>
      </c>
      <c r="AR86" s="167">
        <v>12</v>
      </c>
      <c r="AS86" s="167">
        <f t="shared" si="105"/>
        <v>286</v>
      </c>
      <c r="AT86" s="167">
        <v>3432</v>
      </c>
      <c r="AU86" s="184">
        <f t="shared" si="106"/>
        <v>385.47251748251745</v>
      </c>
      <c r="AV86" s="184">
        <v>1322941.68</v>
      </c>
      <c r="AW86" s="167">
        <f>'Factor D Back Up'!D1108</f>
        <v>11</v>
      </c>
      <c r="AX86" s="167">
        <f>'Factor D Back Up'!E1108</f>
        <v>234.52991525601169</v>
      </c>
      <c r="AY86" s="167">
        <f>'Factor D Back Up'!F1108</f>
        <v>2579.8290678161284</v>
      </c>
      <c r="AZ86" s="184">
        <f>'Factor D Back Up'!G1108</f>
        <v>377.58</v>
      </c>
      <c r="BA86" s="184">
        <f>'Factor D Back Up'!H1108</f>
        <v>974091.85942601366</v>
      </c>
      <c r="BB86" s="167">
        <f>'Factor D Back Up'!D1109</f>
        <v>10</v>
      </c>
      <c r="BC86" s="167">
        <f>'Factor D Back Up'!E1109</f>
        <v>231.00389696038815</v>
      </c>
      <c r="BD86" s="167">
        <f>'Factor D Back Up'!F1109</f>
        <v>2310.0389696038815</v>
      </c>
      <c r="BE86" s="184">
        <f>'Factor D Back Up'!G1109</f>
        <v>387.39707999999996</v>
      </c>
      <c r="BF86" s="184">
        <f>'Factor D Back Up'!H1109</f>
        <v>894902.35151075234</v>
      </c>
      <c r="BG86" s="167">
        <f>'Factor D Back Up'!D1110</f>
        <v>10</v>
      </c>
      <c r="BH86" s="167">
        <f>'Factor D Back Up'!E1110</f>
        <v>227.4778786647646</v>
      </c>
      <c r="BI86" s="167">
        <f>'Factor D Back Up'!F1110</f>
        <v>2274.778786647646</v>
      </c>
      <c r="BJ86" s="184">
        <f>'Factor D Back Up'!G1110</f>
        <v>397.46940407999995</v>
      </c>
      <c r="BK86" s="184">
        <f>'Factor D Back Up'!H1110</f>
        <v>904154.96874266525</v>
      </c>
      <c r="BL86" s="167">
        <f>'Factor D Back Up'!D1111</f>
        <v>10</v>
      </c>
      <c r="BM86" s="167">
        <f>'Factor D Back Up'!E1111</f>
        <v>223.95186036914103</v>
      </c>
      <c r="BN86" s="167">
        <f>'Factor D Back Up'!F1111</f>
        <v>2239.5186036914101</v>
      </c>
      <c r="BO86" s="184">
        <f>'Factor D Back Up'!G1111</f>
        <v>407.80360858607992</v>
      </c>
      <c r="BP86" s="184">
        <f>'Factor D Back Up'!H1111</f>
        <v>913283.76808101602</v>
      </c>
      <c r="BQ86" s="167">
        <f>'Factor D Back Up'!D1112</f>
        <v>10</v>
      </c>
      <c r="BR86" s="167">
        <f>'Factor D Back Up'!E1112</f>
        <v>220.42584207351746</v>
      </c>
      <c r="BS86" s="167">
        <f>'Factor D Back Up'!F1112</f>
        <v>2204.2584207351747</v>
      </c>
      <c r="BT86" s="184">
        <f>'Factor D Back Up'!G1112</f>
        <v>418.40650240931802</v>
      </c>
      <c r="BU86" s="184">
        <f>'Factor D Back Up'!H1112</f>
        <v>922276.05622609146</v>
      </c>
      <c r="BV86" s="167">
        <f>'Factor D Back Up'!D1113</f>
        <v>10</v>
      </c>
      <c r="BW86" s="167">
        <f>'Factor D Back Up'!E1113</f>
        <v>216.89982377789391</v>
      </c>
      <c r="BX86" s="167">
        <f>'Factor D Back Up'!F1113</f>
        <v>2168.9982377789393</v>
      </c>
      <c r="BY86" s="184">
        <f>'Factor D Back Up'!G1113</f>
        <v>429.28507147196029</v>
      </c>
      <c r="BZ86" s="184">
        <f>'Factor D Back Up'!H1113</f>
        <v>931118.56352748792</v>
      </c>
      <c r="CA86" s="86"/>
      <c r="CB86" s="187">
        <f t="shared" si="107"/>
        <v>17348655.407514025</v>
      </c>
      <c r="CC86" s="282">
        <f>+'linked - DO NOT USE or DELETE'!H71+'linked - DO NOT USE or DELETE'!M71+'linked - DO NOT USE or DELETE'!R71</f>
        <v>5954316.0800000001</v>
      </c>
      <c r="CD86" s="281">
        <f t="shared" si="108"/>
        <v>23302971.487514026</v>
      </c>
      <c r="CE86" s="86"/>
      <c r="CF86" s="576">
        <f t="shared" si="95"/>
        <v>23302971.487514026</v>
      </c>
      <c r="CG86" s="86"/>
      <c r="CH86" s="86"/>
      <c r="CI86" s="86"/>
    </row>
    <row r="87" spans="1:87" ht="15" customHeight="1" x14ac:dyDescent="0.25">
      <c r="A87" s="81" t="s">
        <v>293</v>
      </c>
      <c r="B87" s="165" t="s">
        <v>138</v>
      </c>
      <c r="C87" s="590" t="s">
        <v>135</v>
      </c>
      <c r="D87" s="167">
        <v>51</v>
      </c>
      <c r="E87" s="167">
        <f t="shared" si="109"/>
        <v>183.52941176470588</v>
      </c>
      <c r="F87" s="167">
        <v>9360</v>
      </c>
      <c r="G87" s="184">
        <f t="shared" si="110"/>
        <v>475.36581196581199</v>
      </c>
      <c r="H87" s="184">
        <v>4449424</v>
      </c>
      <c r="I87" s="167">
        <v>47</v>
      </c>
      <c r="J87" s="167">
        <f t="shared" si="111"/>
        <v>257.57446808510639</v>
      </c>
      <c r="K87" s="167">
        <v>12106</v>
      </c>
      <c r="L87" s="184">
        <f t="shared" si="112"/>
        <v>470.47986452998509</v>
      </c>
      <c r="M87" s="184">
        <v>5695629.2399999993</v>
      </c>
      <c r="N87" s="167">
        <v>64</v>
      </c>
      <c r="O87" s="167">
        <f t="shared" si="113"/>
        <v>229.25</v>
      </c>
      <c r="P87" s="167">
        <v>14672</v>
      </c>
      <c r="Q87" s="184">
        <f t="shared" si="114"/>
        <v>474.15789258451468</v>
      </c>
      <c r="R87" s="184">
        <v>6956844.5999999996</v>
      </c>
      <c r="S87" s="167">
        <v>44</v>
      </c>
      <c r="T87" s="167">
        <f t="shared" si="115"/>
        <v>294.63636363636363</v>
      </c>
      <c r="U87" s="167">
        <v>12964</v>
      </c>
      <c r="V87" s="184">
        <f t="shared" si="67"/>
        <v>477.43443381672324</v>
      </c>
      <c r="W87" s="184">
        <v>6189460</v>
      </c>
      <c r="X87" s="167">
        <v>40</v>
      </c>
      <c r="Y87" s="167">
        <f t="shared" si="116"/>
        <v>236.95</v>
      </c>
      <c r="Z87" s="167">
        <v>9478</v>
      </c>
      <c r="AA87" s="184">
        <f t="shared" si="117"/>
        <v>483.19656045579234</v>
      </c>
      <c r="AB87" s="184">
        <v>4579737</v>
      </c>
      <c r="AC87" s="167">
        <v>59</v>
      </c>
      <c r="AD87" s="167">
        <f t="shared" si="118"/>
        <v>154.01694915254237</v>
      </c>
      <c r="AE87" s="167">
        <v>9087</v>
      </c>
      <c r="AF87" s="184">
        <f t="shared" si="119"/>
        <v>401.94794761747551</v>
      </c>
      <c r="AG87" s="184">
        <v>3652501</v>
      </c>
      <c r="AH87" s="167">
        <v>76</v>
      </c>
      <c r="AI87" s="167">
        <f t="shared" si="102"/>
        <v>156.55263157894737</v>
      </c>
      <c r="AJ87" s="167">
        <v>11898</v>
      </c>
      <c r="AK87" s="184">
        <f t="shared" si="68"/>
        <v>405.03189695747182</v>
      </c>
      <c r="AL87" s="184">
        <v>4819069.51</v>
      </c>
      <c r="AM87" s="167">
        <v>51</v>
      </c>
      <c r="AN87" s="167">
        <f t="shared" si="103"/>
        <v>305</v>
      </c>
      <c r="AO87" s="167">
        <v>15555</v>
      </c>
      <c r="AP87" s="184">
        <f t="shared" si="104"/>
        <v>434.26575249116041</v>
      </c>
      <c r="AQ87" s="184">
        <v>6755003.7800000003</v>
      </c>
      <c r="AR87" s="167">
        <v>51</v>
      </c>
      <c r="AS87" s="167">
        <f t="shared" si="105"/>
        <v>279.96078431372547</v>
      </c>
      <c r="AT87" s="167">
        <v>14278</v>
      </c>
      <c r="AU87" s="184">
        <f t="shared" si="106"/>
        <v>429.80807816220761</v>
      </c>
      <c r="AV87" s="184">
        <v>6136799.7400000002</v>
      </c>
      <c r="AW87" s="167">
        <f>'Factor D Back Up'!D1126</f>
        <v>46</v>
      </c>
      <c r="AX87" s="167">
        <f>'Factor D Back Up'!E1126</f>
        <v>253.21795105472393</v>
      </c>
      <c r="AY87" s="167">
        <f>'Factor D Back Up'!F1126</f>
        <v>11648.025748517301</v>
      </c>
      <c r="AZ87" s="184">
        <f>'Factor D Back Up'!G1126</f>
        <v>423.06</v>
      </c>
      <c r="BA87" s="184">
        <f>'Factor D Back Up'!H1126</f>
        <v>4927813.7731677294</v>
      </c>
      <c r="BB87" s="167">
        <f>'Factor D Back Up'!D1127</f>
        <v>44</v>
      </c>
      <c r="BC87" s="167">
        <f>'Factor D Back Up'!E1127</f>
        <v>257.25108329830448</v>
      </c>
      <c r="BD87" s="167">
        <f>'Factor D Back Up'!F1127</f>
        <v>11319.047665125398</v>
      </c>
      <c r="BE87" s="184">
        <f>'Factor D Back Up'!G1127</f>
        <v>434.06</v>
      </c>
      <c r="BF87" s="184">
        <f>'Factor D Back Up'!H1127</f>
        <v>4913145.8295243299</v>
      </c>
      <c r="BG87" s="167">
        <f>'Factor D Back Up'!D1128</f>
        <v>44</v>
      </c>
      <c r="BH87" s="167">
        <f>'Factor D Back Up'!E1128</f>
        <v>261.28421554188503</v>
      </c>
      <c r="BI87" s="167">
        <f>'Factor D Back Up'!F1128</f>
        <v>11496.505483842942</v>
      </c>
      <c r="BJ87" s="184">
        <f>'Factor D Back Up'!G1128</f>
        <v>445.34555999999998</v>
      </c>
      <c r="BK87" s="184">
        <f>'Factor D Back Up'!H1128</f>
        <v>5119917.6727451058</v>
      </c>
      <c r="BL87" s="167">
        <f>'Factor D Back Up'!D1129</f>
        <v>43</v>
      </c>
      <c r="BM87" s="167">
        <f>'Factor D Back Up'!E1129</f>
        <v>265.31734778546559</v>
      </c>
      <c r="BN87" s="167">
        <f>'Factor D Back Up'!F1129</f>
        <v>11408.64595477502</v>
      </c>
      <c r="BO87" s="184">
        <f>'Factor D Back Up'!G1129</f>
        <v>456.92454455999996</v>
      </c>
      <c r="BP87" s="184">
        <f>'Factor D Back Up'!H1129</f>
        <v>5212890.3569318615</v>
      </c>
      <c r="BQ87" s="167">
        <f>'Factor D Back Up'!D1130</f>
        <v>43</v>
      </c>
      <c r="BR87" s="167">
        <f>'Factor D Back Up'!E1130</f>
        <v>269.35048002904614</v>
      </c>
      <c r="BS87" s="167">
        <f>'Factor D Back Up'!F1130</f>
        <v>11582.070641248984</v>
      </c>
      <c r="BT87" s="184">
        <f>'Factor D Back Up'!G1130</f>
        <v>468.80458271855997</v>
      </c>
      <c r="BU87" s="184">
        <f>'Factor D Back Up'!H1130</f>
        <v>5429727.7939876141</v>
      </c>
      <c r="BV87" s="167">
        <f>'Factor D Back Up'!D1131</f>
        <v>42</v>
      </c>
      <c r="BW87" s="167">
        <f>'Factor D Back Up'!E1131</f>
        <v>273.38361227262669</v>
      </c>
      <c r="BX87" s="167">
        <f>'Factor D Back Up'!F1131</f>
        <v>11482.111715450321</v>
      </c>
      <c r="BY87" s="184">
        <f>'Factor D Back Up'!G1131</f>
        <v>480.99350186924255</v>
      </c>
      <c r="BZ87" s="184">
        <f>'Factor D Back Up'!H1131</f>
        <v>5522821.122868306</v>
      </c>
      <c r="CA87" s="86"/>
      <c r="CB87" s="187">
        <f t="shared" si="107"/>
        <v>63258887.579224944</v>
      </c>
      <c r="CC87" s="282">
        <f>+'linked - DO NOT USE or DELETE'!H72+'linked - DO NOT USE or DELETE'!M72+'linked - DO NOT USE or DELETE'!R72</f>
        <v>17101897.839999996</v>
      </c>
      <c r="CD87" s="281">
        <f t="shared" si="108"/>
        <v>80360785.419224948</v>
      </c>
      <c r="CE87" s="86"/>
      <c r="CF87" s="576">
        <f t="shared" si="95"/>
        <v>80360785.419224948</v>
      </c>
      <c r="CG87" s="86"/>
      <c r="CH87" s="86"/>
      <c r="CI87" s="86"/>
    </row>
    <row r="88" spans="1:87" ht="15" customHeight="1" x14ac:dyDescent="0.25">
      <c r="A88" s="81" t="s">
        <v>292</v>
      </c>
      <c r="B88" s="165" t="s">
        <v>138</v>
      </c>
      <c r="C88" s="590" t="s">
        <v>135</v>
      </c>
      <c r="D88" s="167">
        <v>26</v>
      </c>
      <c r="E88" s="167">
        <f t="shared" si="109"/>
        <v>184.69230769230768</v>
      </c>
      <c r="F88" s="167">
        <v>4802</v>
      </c>
      <c r="G88" s="184">
        <f t="shared" si="110"/>
        <v>559.66159933361098</v>
      </c>
      <c r="H88" s="184">
        <v>2687495</v>
      </c>
      <c r="I88" s="167">
        <v>23</v>
      </c>
      <c r="J88" s="167">
        <f t="shared" si="111"/>
        <v>221.39130434782609</v>
      </c>
      <c r="K88" s="167">
        <v>5092</v>
      </c>
      <c r="L88" s="184">
        <f t="shared" si="112"/>
        <v>554.55239591516101</v>
      </c>
      <c r="M88" s="184">
        <v>2823780.8</v>
      </c>
      <c r="N88" s="167">
        <v>15</v>
      </c>
      <c r="O88" s="167">
        <f t="shared" si="113"/>
        <v>143.4</v>
      </c>
      <c r="P88" s="167">
        <v>2151</v>
      </c>
      <c r="Q88" s="184">
        <f t="shared" si="114"/>
        <v>459.59811715481175</v>
      </c>
      <c r="R88" s="184">
        <v>988595.55</v>
      </c>
      <c r="S88" s="167">
        <v>12</v>
      </c>
      <c r="T88" s="167">
        <f t="shared" si="115"/>
        <v>150.33333333333334</v>
      </c>
      <c r="U88" s="167">
        <v>1804</v>
      </c>
      <c r="V88" s="184">
        <f t="shared" si="67"/>
        <v>429.82601995565409</v>
      </c>
      <c r="W88" s="184">
        <v>775406.14</v>
      </c>
      <c r="X88" s="167">
        <v>9</v>
      </c>
      <c r="Y88" s="167">
        <f t="shared" si="116"/>
        <v>155.22222222222223</v>
      </c>
      <c r="Z88" s="167">
        <v>1397</v>
      </c>
      <c r="AA88" s="184">
        <f t="shared" si="117"/>
        <v>560.94130279169644</v>
      </c>
      <c r="AB88" s="184">
        <v>783635</v>
      </c>
      <c r="AC88" s="167">
        <v>21</v>
      </c>
      <c r="AD88" s="167">
        <f t="shared" si="118"/>
        <v>142.28571428571428</v>
      </c>
      <c r="AE88" s="167">
        <v>2988</v>
      </c>
      <c r="AF88" s="184">
        <f t="shared" si="119"/>
        <v>494.82463186077644</v>
      </c>
      <c r="AG88" s="184">
        <v>1478536</v>
      </c>
      <c r="AH88" s="167">
        <v>26</v>
      </c>
      <c r="AI88" s="167">
        <f t="shared" si="102"/>
        <v>137.15384615384616</v>
      </c>
      <c r="AJ88" s="167">
        <v>3566</v>
      </c>
      <c r="AK88" s="184">
        <f t="shared" si="68"/>
        <v>495.91657038698821</v>
      </c>
      <c r="AL88" s="184">
        <v>1768438.49</v>
      </c>
      <c r="AM88" s="167">
        <v>10</v>
      </c>
      <c r="AN88" s="167">
        <f t="shared" si="103"/>
        <v>313.7</v>
      </c>
      <c r="AO88" s="167">
        <v>3137</v>
      </c>
      <c r="AP88" s="184">
        <f t="shared" si="104"/>
        <v>560.43047816385081</v>
      </c>
      <c r="AQ88" s="184">
        <v>1758070.41</v>
      </c>
      <c r="AR88" s="167">
        <v>15</v>
      </c>
      <c r="AS88" s="167">
        <f t="shared" si="105"/>
        <v>223.53333333333333</v>
      </c>
      <c r="AT88" s="167">
        <v>3353</v>
      </c>
      <c r="AU88" s="184">
        <f t="shared" si="106"/>
        <v>541.32469728601257</v>
      </c>
      <c r="AV88" s="184">
        <v>1815061.71</v>
      </c>
      <c r="AW88" s="167">
        <f>'Factor D Back Up'!D1144</f>
        <v>12</v>
      </c>
      <c r="AX88" s="167">
        <f>'Factor D Back Up'!E1144</f>
        <v>220.05830649490071</v>
      </c>
      <c r="AY88" s="167">
        <f>'Factor D Back Up'!F1144</f>
        <v>2640.6996779388082</v>
      </c>
      <c r="AZ88" s="184">
        <f>'Factor D Back Up'!G1144</f>
        <v>514.51</v>
      </c>
      <c r="BA88" s="184">
        <f>'Factor D Back Up'!H1144</f>
        <v>1358666.3912962961</v>
      </c>
      <c r="BB88" s="167">
        <f>'Factor D Back Up'!D1145</f>
        <v>12</v>
      </c>
      <c r="BC88" s="167">
        <f>'Factor D Back Up'!E1145</f>
        <v>226.92081087457899</v>
      </c>
      <c r="BD88" s="167">
        <f>'Factor D Back Up'!F1145</f>
        <v>2723.0497304949477</v>
      </c>
      <c r="BE88" s="184">
        <f>'Factor D Back Up'!G1145</f>
        <v>527.89</v>
      </c>
      <c r="BF88" s="184">
        <f>'Factor D Back Up'!H1145</f>
        <v>1437470.7222309778</v>
      </c>
      <c r="BG88" s="167">
        <f>'Factor D Back Up'!D1146</f>
        <v>12</v>
      </c>
      <c r="BH88" s="167">
        <f>'Factor D Back Up'!E1146</f>
        <v>233.78331525425727</v>
      </c>
      <c r="BI88" s="167">
        <f>'Factor D Back Up'!F1146</f>
        <v>2805.3997830510871</v>
      </c>
      <c r="BJ88" s="184">
        <f>'Factor D Back Up'!G1146</f>
        <v>541.61514</v>
      </c>
      <c r="BK88" s="184">
        <f>'Factor D Back Up'!H1146</f>
        <v>1519446.996253184</v>
      </c>
      <c r="BL88" s="167">
        <f>'Factor D Back Up'!D1147</f>
        <v>12</v>
      </c>
      <c r="BM88" s="167">
        <f>'Factor D Back Up'!E1147</f>
        <v>240.64581963393556</v>
      </c>
      <c r="BN88" s="167">
        <f>'Factor D Back Up'!F1147</f>
        <v>2887.7498356072265</v>
      </c>
      <c r="BO88" s="184">
        <f>'Factor D Back Up'!G1147</f>
        <v>555.69713363999995</v>
      </c>
      <c r="BP88" s="184">
        <f>'Factor D Back Up'!H1147</f>
        <v>1604714.3063163168</v>
      </c>
      <c r="BQ88" s="167">
        <f>'Factor D Back Up'!D1148</f>
        <v>11</v>
      </c>
      <c r="BR88" s="167">
        <f>'Factor D Back Up'!E1148</f>
        <v>247.50832401361384</v>
      </c>
      <c r="BS88" s="167">
        <f>'Factor D Back Up'!F1148</f>
        <v>2722.5915641497522</v>
      </c>
      <c r="BT88" s="184">
        <f>'Factor D Back Up'!G1148</f>
        <v>570.14525911464</v>
      </c>
      <c r="BU88" s="184">
        <f>'Factor D Back Up'!H1148</f>
        <v>1552272.6728054935</v>
      </c>
      <c r="BV88" s="167">
        <f>'Factor D Back Up'!D1149</f>
        <v>11</v>
      </c>
      <c r="BW88" s="167">
        <f>'Factor D Back Up'!E1149</f>
        <v>254.37082839329216</v>
      </c>
      <c r="BX88" s="167">
        <f>'Factor D Back Up'!F1149</f>
        <v>2798.0791123262138</v>
      </c>
      <c r="BY88" s="184">
        <f>'Factor D Back Up'!G1149</f>
        <v>584.96903585162067</v>
      </c>
      <c r="BZ88" s="184">
        <f>'Factor D Back Up'!H1149</f>
        <v>1636789.6405740238</v>
      </c>
      <c r="CA88" s="86"/>
      <c r="CB88" s="187">
        <f t="shared" si="107"/>
        <v>17488508.479476292</v>
      </c>
      <c r="CC88" s="282">
        <f>+'linked - DO NOT USE or DELETE'!H73+'linked - DO NOT USE or DELETE'!M73+'linked - DO NOT USE or DELETE'!R73</f>
        <v>6499871.3499999996</v>
      </c>
      <c r="CD88" s="281">
        <f t="shared" si="108"/>
        <v>23988379.829476289</v>
      </c>
      <c r="CE88" s="86"/>
      <c r="CF88" s="576">
        <f t="shared" si="95"/>
        <v>23988379.829476286</v>
      </c>
      <c r="CG88" s="86"/>
      <c r="CH88" s="86"/>
      <c r="CI88" s="86"/>
    </row>
    <row r="89" spans="1:87" s="17" customFormat="1" ht="15" customHeight="1" x14ac:dyDescent="0.25">
      <c r="A89" s="256" t="s">
        <v>291</v>
      </c>
      <c r="B89" s="165" t="s">
        <v>138</v>
      </c>
      <c r="C89" s="590" t="s">
        <v>135</v>
      </c>
      <c r="D89" s="167">
        <v>0</v>
      </c>
      <c r="E89" s="167" t="e">
        <f t="shared" si="109"/>
        <v>#DIV/0!</v>
      </c>
      <c r="F89" s="167">
        <v>0</v>
      </c>
      <c r="G89" s="184" t="e">
        <f t="shared" si="110"/>
        <v>#DIV/0!</v>
      </c>
      <c r="H89" s="184">
        <v>0</v>
      </c>
      <c r="I89" s="167">
        <v>0</v>
      </c>
      <c r="J89" s="167" t="e">
        <f t="shared" si="111"/>
        <v>#DIV/0!</v>
      </c>
      <c r="K89" s="167">
        <v>0</v>
      </c>
      <c r="L89" s="184" t="e">
        <f t="shared" si="112"/>
        <v>#DIV/0!</v>
      </c>
      <c r="M89" s="184">
        <v>0</v>
      </c>
      <c r="N89" s="167">
        <v>0</v>
      </c>
      <c r="O89" s="167" t="e">
        <f t="shared" si="113"/>
        <v>#DIV/0!</v>
      </c>
      <c r="P89" s="167">
        <v>0</v>
      </c>
      <c r="Q89" s="184" t="e">
        <f t="shared" si="114"/>
        <v>#DIV/0!</v>
      </c>
      <c r="R89" s="184">
        <v>0</v>
      </c>
      <c r="S89" s="167">
        <v>0</v>
      </c>
      <c r="T89" s="167" t="e">
        <f t="shared" si="115"/>
        <v>#DIV/0!</v>
      </c>
      <c r="U89" s="167">
        <v>0</v>
      </c>
      <c r="V89" s="184" t="e">
        <f t="shared" si="67"/>
        <v>#DIV/0!</v>
      </c>
      <c r="W89" s="184">
        <v>0</v>
      </c>
      <c r="X89" s="167">
        <v>0</v>
      </c>
      <c r="Y89" s="167" t="e">
        <f t="shared" si="116"/>
        <v>#DIV/0!</v>
      </c>
      <c r="Z89" s="167">
        <v>0</v>
      </c>
      <c r="AA89" s="184" t="e">
        <f t="shared" si="117"/>
        <v>#DIV/0!</v>
      </c>
      <c r="AB89" s="184">
        <v>0</v>
      </c>
      <c r="AC89" s="167">
        <v>0</v>
      </c>
      <c r="AD89" s="167" t="e">
        <f t="shared" si="118"/>
        <v>#DIV/0!</v>
      </c>
      <c r="AE89" s="167">
        <v>0</v>
      </c>
      <c r="AF89" s="184" t="e">
        <f t="shared" si="119"/>
        <v>#DIV/0!</v>
      </c>
      <c r="AG89" s="184">
        <v>0</v>
      </c>
      <c r="AH89" s="167">
        <v>0</v>
      </c>
      <c r="AI89" s="167" t="e">
        <f t="shared" si="102"/>
        <v>#DIV/0!</v>
      </c>
      <c r="AJ89" s="167">
        <v>0</v>
      </c>
      <c r="AK89" s="184" t="e">
        <f t="shared" si="68"/>
        <v>#DIV/0!</v>
      </c>
      <c r="AL89" s="184">
        <v>0</v>
      </c>
      <c r="AM89" s="167">
        <v>0</v>
      </c>
      <c r="AN89" s="167" t="e">
        <f t="shared" si="103"/>
        <v>#DIV/0!</v>
      </c>
      <c r="AO89" s="167">
        <v>0</v>
      </c>
      <c r="AP89" s="184" t="e">
        <f t="shared" si="104"/>
        <v>#DIV/0!</v>
      </c>
      <c r="AQ89" s="184">
        <v>0</v>
      </c>
      <c r="AR89" s="167">
        <v>4</v>
      </c>
      <c r="AS89" s="167">
        <f t="shared" si="105"/>
        <v>339.75</v>
      </c>
      <c r="AT89" s="167">
        <v>1359</v>
      </c>
      <c r="AU89" s="184">
        <f t="shared" si="106"/>
        <v>610.58412067696827</v>
      </c>
      <c r="AV89" s="184">
        <v>829783.82</v>
      </c>
      <c r="AW89" s="167">
        <f>'Factor D Back Up'!D1576</f>
        <v>4</v>
      </c>
      <c r="AX89" s="167">
        <f>'Factor D Back Up'!E1576</f>
        <v>365</v>
      </c>
      <c r="AY89" s="167">
        <f>'Factor D Back Up'!F1576</f>
        <v>1460</v>
      </c>
      <c r="AZ89" s="184">
        <f>'Factor D Back Up'!G1576</f>
        <v>610.69000000000005</v>
      </c>
      <c r="BA89" s="184">
        <f>'Factor D Back Up'!H1576</f>
        <v>891607.4</v>
      </c>
      <c r="BB89" s="167">
        <f>'Factor D Back Up'!D1577</f>
        <v>3</v>
      </c>
      <c r="BC89" s="167">
        <f>'Factor D Back Up'!E1577</f>
        <v>365</v>
      </c>
      <c r="BD89" s="167">
        <f>'Factor D Back Up'!F1577</f>
        <v>1095</v>
      </c>
      <c r="BE89" s="184">
        <f>'Factor D Back Up'!G1577</f>
        <v>626.57000000000005</v>
      </c>
      <c r="BF89" s="184">
        <f>'Factor D Back Up'!H1577</f>
        <v>686094.15</v>
      </c>
      <c r="BG89" s="167">
        <f>'Factor D Back Up'!D1578</f>
        <v>3</v>
      </c>
      <c r="BH89" s="167">
        <f>'Factor D Back Up'!E1578</f>
        <v>365</v>
      </c>
      <c r="BI89" s="167">
        <f>'Factor D Back Up'!F1578</f>
        <v>1095</v>
      </c>
      <c r="BJ89" s="184">
        <f>'Factor D Back Up'!G1578</f>
        <v>642.8608200000001</v>
      </c>
      <c r="BK89" s="184">
        <f>'Factor D Back Up'!H1578</f>
        <v>703932.59790000017</v>
      </c>
      <c r="BL89" s="167">
        <f>'Factor D Back Up'!D1579</f>
        <v>3</v>
      </c>
      <c r="BM89" s="167">
        <f>'Factor D Back Up'!E1579</f>
        <v>365</v>
      </c>
      <c r="BN89" s="167">
        <f>'Factor D Back Up'!F1579</f>
        <v>1095</v>
      </c>
      <c r="BO89" s="184">
        <f>'Factor D Back Up'!G1579</f>
        <v>659.57520132000013</v>
      </c>
      <c r="BP89" s="184">
        <f>'Factor D Back Up'!H1579</f>
        <v>722234.8454454001</v>
      </c>
      <c r="BQ89" s="167">
        <f>'Factor D Back Up'!D1580</f>
        <v>3</v>
      </c>
      <c r="BR89" s="167">
        <f>'Factor D Back Up'!E1580</f>
        <v>365</v>
      </c>
      <c r="BS89" s="167">
        <f>'Factor D Back Up'!F1580</f>
        <v>1095</v>
      </c>
      <c r="BT89" s="184">
        <f>'Factor D Back Up'!G1580</f>
        <v>676.72415655432019</v>
      </c>
      <c r="BU89" s="184">
        <f>'Factor D Back Up'!H1580</f>
        <v>741012.95142698055</v>
      </c>
      <c r="BV89" s="167">
        <f>'Factor D Back Up'!D1581</f>
        <v>3</v>
      </c>
      <c r="BW89" s="167">
        <f>'Factor D Back Up'!E1581</f>
        <v>365</v>
      </c>
      <c r="BX89" s="167">
        <f>'Factor D Back Up'!F1581</f>
        <v>1095</v>
      </c>
      <c r="BY89" s="184">
        <f>'Factor D Back Up'!G1581</f>
        <v>694.31898462473248</v>
      </c>
      <c r="BZ89" s="184">
        <f>'Factor D Back Up'!H1581</f>
        <v>760279.2881640821</v>
      </c>
      <c r="CA89" s="77"/>
      <c r="CB89" s="187">
        <f t="shared" si="107"/>
        <v>5334945.0529364627</v>
      </c>
      <c r="CC89" s="283"/>
      <c r="CD89" s="281">
        <f t="shared" si="108"/>
        <v>5334945.0529364627</v>
      </c>
      <c r="CE89" s="77"/>
      <c r="CF89" s="576">
        <f t="shared" si="95"/>
        <v>5334945.0529364636</v>
      </c>
      <c r="CG89" s="77"/>
      <c r="CH89" s="77"/>
      <c r="CI89" s="77"/>
    </row>
    <row r="90" spans="1:87" ht="15" customHeight="1" x14ac:dyDescent="0.25">
      <c r="A90" s="81" t="s">
        <v>290</v>
      </c>
      <c r="B90" s="165" t="s">
        <v>138</v>
      </c>
      <c r="C90" s="590" t="s">
        <v>135</v>
      </c>
      <c r="D90" s="167">
        <v>27</v>
      </c>
      <c r="E90" s="167">
        <f t="shared" si="109"/>
        <v>310.88888888888891</v>
      </c>
      <c r="F90" s="167">
        <v>8394</v>
      </c>
      <c r="G90" s="184">
        <f t="shared" si="110"/>
        <v>272</v>
      </c>
      <c r="H90" s="184">
        <v>2283168</v>
      </c>
      <c r="I90" s="167">
        <v>34</v>
      </c>
      <c r="J90" s="167">
        <f t="shared" si="111"/>
        <v>306.94117647058823</v>
      </c>
      <c r="K90" s="167">
        <v>10436</v>
      </c>
      <c r="L90" s="184">
        <f t="shared" si="112"/>
        <v>272.39095438865468</v>
      </c>
      <c r="M90" s="184">
        <v>2842672</v>
      </c>
      <c r="N90" s="167">
        <v>46</v>
      </c>
      <c r="O90" s="167">
        <f t="shared" si="113"/>
        <v>295.73913043478262</v>
      </c>
      <c r="P90" s="167">
        <v>13604</v>
      </c>
      <c r="Q90" s="184">
        <f t="shared" si="114"/>
        <v>272</v>
      </c>
      <c r="R90" s="184">
        <v>3700288</v>
      </c>
      <c r="S90" s="167">
        <v>62</v>
      </c>
      <c r="T90" s="167">
        <f t="shared" si="115"/>
        <v>243.96774193548387</v>
      </c>
      <c r="U90" s="167">
        <v>15126</v>
      </c>
      <c r="V90" s="184">
        <f t="shared" si="67"/>
        <v>271.99986777733704</v>
      </c>
      <c r="W90" s="184">
        <v>4114270</v>
      </c>
      <c r="X90" s="167">
        <v>51</v>
      </c>
      <c r="Y90" s="167">
        <f t="shared" si="116"/>
        <v>307.88235294117646</v>
      </c>
      <c r="Z90" s="167">
        <v>15702</v>
      </c>
      <c r="AA90" s="184">
        <f t="shared" si="117"/>
        <v>271.98267736594062</v>
      </c>
      <c r="AB90" s="184">
        <v>4270672</v>
      </c>
      <c r="AC90" s="167">
        <v>94</v>
      </c>
      <c r="AD90" s="167">
        <f t="shared" si="118"/>
        <v>156.97872340425531</v>
      </c>
      <c r="AE90" s="167">
        <v>14756</v>
      </c>
      <c r="AF90" s="184">
        <f t="shared" si="119"/>
        <v>280.42653835727839</v>
      </c>
      <c r="AG90" s="184">
        <v>4137974</v>
      </c>
      <c r="AH90" s="167">
        <v>86</v>
      </c>
      <c r="AI90" s="167">
        <f t="shared" si="102"/>
        <v>180.90697674418604</v>
      </c>
      <c r="AJ90" s="167">
        <v>15558</v>
      </c>
      <c r="AK90" s="184">
        <f t="shared" si="68"/>
        <v>284.11591142820413</v>
      </c>
      <c r="AL90" s="184">
        <v>4420275.3499999996</v>
      </c>
      <c r="AM90" s="167">
        <v>42</v>
      </c>
      <c r="AN90" s="167">
        <f t="shared" si="103"/>
        <v>250.0952380952381</v>
      </c>
      <c r="AO90" s="167">
        <v>10504</v>
      </c>
      <c r="AP90" s="184">
        <f t="shared" si="104"/>
        <v>301.55531226199543</v>
      </c>
      <c r="AQ90" s="184">
        <v>3167537</v>
      </c>
      <c r="AR90" s="167">
        <v>24</v>
      </c>
      <c r="AS90" s="167">
        <f t="shared" si="105"/>
        <v>225.16666666666666</v>
      </c>
      <c r="AT90" s="167">
        <v>5404</v>
      </c>
      <c r="AU90" s="184">
        <f t="shared" si="106"/>
        <v>298.8636528497409</v>
      </c>
      <c r="AV90" s="184">
        <v>1615059.18</v>
      </c>
      <c r="AW90" s="167">
        <f>'Factor D Back Up'!D1162</f>
        <v>19</v>
      </c>
      <c r="AX90" s="167">
        <f>'Factor D Back Up'!E1162</f>
        <v>184.00076368174948</v>
      </c>
      <c r="AY90" s="167">
        <f>'Factor D Back Up'!F1162</f>
        <v>3496.0145099532401</v>
      </c>
      <c r="AZ90" s="184">
        <f>'Factor D Back Up'!G1162</f>
        <v>291.23</v>
      </c>
      <c r="BA90" s="184">
        <f>'Factor D Back Up'!H1162</f>
        <v>1018144.3057336822</v>
      </c>
      <c r="BB90" s="167">
        <f>'Factor D Back Up'!D1163</f>
        <v>19</v>
      </c>
      <c r="BC90" s="167">
        <f>'Factor D Back Up'!E1163</f>
        <v>170.16609651629346</v>
      </c>
      <c r="BD90" s="167">
        <f>'Factor D Back Up'!F1163</f>
        <v>3233.1558338095756</v>
      </c>
      <c r="BE90" s="184">
        <f>'Factor D Back Up'!G1163</f>
        <v>298.8</v>
      </c>
      <c r="BF90" s="184">
        <f>'Factor D Back Up'!H1163</f>
        <v>966066.96314230119</v>
      </c>
      <c r="BG90" s="167">
        <f>'Factor D Back Up'!D1164</f>
        <v>18</v>
      </c>
      <c r="BH90" s="167">
        <f>'Factor D Back Up'!E1164</f>
        <v>156.33142935083742</v>
      </c>
      <c r="BI90" s="167">
        <f>'Factor D Back Up'!F1164</f>
        <v>2813.9657283150736</v>
      </c>
      <c r="BJ90" s="184">
        <f>'Factor D Back Up'!G1164</f>
        <v>306.56880000000001</v>
      </c>
      <c r="BK90" s="184">
        <f>'Factor D Back Up'!H1164</f>
        <v>862674.09657067817</v>
      </c>
      <c r="BL90" s="167">
        <f>'Factor D Back Up'!D1165</f>
        <v>18</v>
      </c>
      <c r="BM90" s="167">
        <f>'Factor D Back Up'!E1165</f>
        <v>142.49676218538141</v>
      </c>
      <c r="BN90" s="167">
        <f>'Factor D Back Up'!F1165</f>
        <v>2564.9417193368654</v>
      </c>
      <c r="BO90" s="184">
        <f>'Factor D Back Up'!G1165</f>
        <v>314.53958879999999</v>
      </c>
      <c r="BP90" s="184">
        <f>'Factor D Back Up'!H1165</f>
        <v>806775.71369618259</v>
      </c>
      <c r="BQ90" s="167">
        <f>'Factor D Back Up'!D1166</f>
        <v>18</v>
      </c>
      <c r="BR90" s="167">
        <f>'Factor D Back Up'!E1166</f>
        <v>128.6620950199254</v>
      </c>
      <c r="BS90" s="167">
        <f>'Factor D Back Up'!F1166</f>
        <v>2315.9177103586571</v>
      </c>
      <c r="BT90" s="184">
        <f>'Factor D Back Up'!G1166</f>
        <v>322.71761810879997</v>
      </c>
      <c r="BU90" s="184">
        <f>'Factor D Back Up'!H1166</f>
        <v>747387.44722293154</v>
      </c>
      <c r="BV90" s="167">
        <f>'Factor D Back Up'!D1167</f>
        <v>18</v>
      </c>
      <c r="BW90" s="167">
        <f>'Factor D Back Up'!E1167</f>
        <v>114.82742785446936</v>
      </c>
      <c r="BX90" s="167">
        <f>'Factor D Back Up'!F1167</f>
        <v>2066.8937013804484</v>
      </c>
      <c r="BY90" s="184">
        <f>'Factor D Back Up'!G1167</f>
        <v>331.10827617962877</v>
      </c>
      <c r="BZ90" s="184">
        <f>'Factor D Back Up'!H1167</f>
        <v>684365.61051061272</v>
      </c>
      <c r="CA90" s="86"/>
      <c r="CB90" s="187">
        <f t="shared" si="107"/>
        <v>26811201.666876391</v>
      </c>
      <c r="CC90" s="282">
        <f>+'linked - DO NOT USE or DELETE'!H74+'linked - DO NOT USE or DELETE'!M74+'linked - DO NOT USE or DELETE'!R74</f>
        <v>8826128</v>
      </c>
      <c r="CD90" s="281">
        <f t="shared" si="108"/>
        <v>35637329.666876391</v>
      </c>
      <c r="CE90" s="86"/>
      <c r="CF90" s="576">
        <f t="shared" si="95"/>
        <v>35637329.666876391</v>
      </c>
      <c r="CG90" s="86"/>
      <c r="CH90" s="86"/>
      <c r="CI90" s="86"/>
    </row>
    <row r="91" spans="1:87" ht="15" customHeight="1" x14ac:dyDescent="0.25">
      <c r="A91" s="81" t="s">
        <v>289</v>
      </c>
      <c r="B91" s="165" t="s">
        <v>138</v>
      </c>
      <c r="C91" s="590" t="s">
        <v>135</v>
      </c>
      <c r="D91" s="167">
        <v>39</v>
      </c>
      <c r="E91" s="167">
        <f t="shared" si="109"/>
        <v>228.87179487179486</v>
      </c>
      <c r="F91" s="167">
        <v>8926</v>
      </c>
      <c r="G91" s="184">
        <f t="shared" si="110"/>
        <v>366.80958323997311</v>
      </c>
      <c r="H91" s="184">
        <v>3274142.34</v>
      </c>
      <c r="I91" s="167">
        <v>41</v>
      </c>
      <c r="J91" s="167">
        <f t="shared" si="111"/>
        <v>270.2439024390244</v>
      </c>
      <c r="K91" s="167">
        <v>11080</v>
      </c>
      <c r="L91" s="184">
        <f t="shared" si="112"/>
        <v>366.83892960288807</v>
      </c>
      <c r="M91" s="184">
        <v>4064575.34</v>
      </c>
      <c r="N91" s="167">
        <v>43</v>
      </c>
      <c r="O91" s="167">
        <f t="shared" si="113"/>
        <v>245.09302325581396</v>
      </c>
      <c r="P91" s="167">
        <v>10539</v>
      </c>
      <c r="Q91" s="184">
        <f t="shared" si="114"/>
        <v>366.60280861561819</v>
      </c>
      <c r="R91" s="184">
        <v>3863627</v>
      </c>
      <c r="S91" s="167">
        <v>40</v>
      </c>
      <c r="T91" s="167">
        <f t="shared" si="115"/>
        <v>224.57499999999999</v>
      </c>
      <c r="U91" s="167">
        <v>8983</v>
      </c>
      <c r="V91" s="184">
        <f t="shared" si="67"/>
        <v>366.9894244684404</v>
      </c>
      <c r="W91" s="184">
        <v>3296666</v>
      </c>
      <c r="X91" s="167">
        <v>31</v>
      </c>
      <c r="Y91" s="167">
        <f t="shared" si="116"/>
        <v>325.22580645161293</v>
      </c>
      <c r="Z91" s="167">
        <v>10082</v>
      </c>
      <c r="AA91" s="184">
        <f t="shared" si="117"/>
        <v>366.92313033128346</v>
      </c>
      <c r="AB91" s="184">
        <v>3699319</v>
      </c>
      <c r="AC91" s="167">
        <v>49</v>
      </c>
      <c r="AD91" s="167">
        <f t="shared" si="118"/>
        <v>151.65306122448979</v>
      </c>
      <c r="AE91" s="167">
        <v>7431</v>
      </c>
      <c r="AF91" s="184">
        <f t="shared" si="119"/>
        <v>322</v>
      </c>
      <c r="AG91" s="184">
        <v>2392782</v>
      </c>
      <c r="AH91" s="167">
        <v>26</v>
      </c>
      <c r="AI91" s="167">
        <f t="shared" si="102"/>
        <v>156.65384615384616</v>
      </c>
      <c r="AJ91" s="167">
        <v>4073</v>
      </c>
      <c r="AK91" s="184">
        <f t="shared" si="68"/>
        <v>324.60370243064079</v>
      </c>
      <c r="AL91" s="184">
        <v>1322110.8799999999</v>
      </c>
      <c r="AM91" s="167">
        <v>22</v>
      </c>
      <c r="AN91" s="167">
        <f t="shared" si="103"/>
        <v>203.13636363636363</v>
      </c>
      <c r="AO91" s="167">
        <v>4469</v>
      </c>
      <c r="AP91" s="184">
        <f t="shared" si="104"/>
        <v>348.78000000000003</v>
      </c>
      <c r="AQ91" s="184">
        <v>1558697.82</v>
      </c>
      <c r="AR91" s="167">
        <v>21</v>
      </c>
      <c r="AS91" s="167">
        <f t="shared" si="105"/>
        <v>258.28571428571428</v>
      </c>
      <c r="AT91" s="167">
        <v>5424</v>
      </c>
      <c r="AU91" s="184">
        <f t="shared" si="106"/>
        <v>352.88751843657815</v>
      </c>
      <c r="AV91" s="184">
        <v>1914061.9</v>
      </c>
      <c r="AW91" s="167">
        <f>'Factor D Back Up'!D1180</f>
        <v>21</v>
      </c>
      <c r="AX91" s="167">
        <f>'Factor D Back Up'!E1180</f>
        <v>201.51534316887188</v>
      </c>
      <c r="AY91" s="167">
        <f>'Factor D Back Up'!F1180</f>
        <v>4231.8222065463096</v>
      </c>
      <c r="AZ91" s="184">
        <f>'Factor D Back Up'!G1180</f>
        <v>359.87</v>
      </c>
      <c r="BA91" s="184">
        <f>'Factor D Back Up'!H1180</f>
        <v>1522905.8574698204</v>
      </c>
      <c r="BB91" s="167">
        <f>'Factor D Back Up'!D1181</f>
        <v>21</v>
      </c>
      <c r="BC91" s="167">
        <f>'Factor D Back Up'!E1181</f>
        <v>195.95755597334272</v>
      </c>
      <c r="BD91" s="167">
        <f>'Factor D Back Up'!F1181</f>
        <v>4115.1086754401967</v>
      </c>
      <c r="BE91" s="184">
        <f>'Factor D Back Up'!G1181</f>
        <v>369.23</v>
      </c>
      <c r="BF91" s="184">
        <f>'Factor D Back Up'!H1181</f>
        <v>1519421.576232784</v>
      </c>
      <c r="BG91" s="167">
        <f>'Factor D Back Up'!D1182</f>
        <v>20</v>
      </c>
      <c r="BH91" s="167">
        <f>'Factor D Back Up'!E1182</f>
        <v>190.39976877781353</v>
      </c>
      <c r="BI91" s="167">
        <f>'Factor D Back Up'!F1182</f>
        <v>3807.9953755562706</v>
      </c>
      <c r="BJ91" s="184">
        <f>'Factor D Back Up'!G1182</f>
        <v>378.82998000000003</v>
      </c>
      <c r="BK91" s="184">
        <f>'Factor D Back Up'!H1182</f>
        <v>1442582.8119620746</v>
      </c>
      <c r="BL91" s="167">
        <f>'Factor D Back Up'!D1183</f>
        <v>20</v>
      </c>
      <c r="BM91" s="167">
        <f>'Factor D Back Up'!E1183</f>
        <v>184.84198158228435</v>
      </c>
      <c r="BN91" s="167">
        <f>'Factor D Back Up'!F1183</f>
        <v>3696.8396316456869</v>
      </c>
      <c r="BO91" s="184">
        <f>'Factor D Back Up'!G1183</f>
        <v>388.67955948000002</v>
      </c>
      <c r="BP91" s="184">
        <f>'Factor D Back Up'!H1183</f>
        <v>1436885.9994962511</v>
      </c>
      <c r="BQ91" s="167">
        <f>'Factor D Back Up'!D1184</f>
        <v>20</v>
      </c>
      <c r="BR91" s="167">
        <f>'Factor D Back Up'!E1184</f>
        <v>179.28419438675519</v>
      </c>
      <c r="BS91" s="167">
        <f>'Factor D Back Up'!F1184</f>
        <v>3585.6838877351038</v>
      </c>
      <c r="BT91" s="184">
        <f>'Factor D Back Up'!G1184</f>
        <v>398.78522802648001</v>
      </c>
      <c r="BU91" s="184">
        <f>'Factor D Back Up'!H1184</f>
        <v>1429917.7668013186</v>
      </c>
      <c r="BV91" s="167">
        <f>'Factor D Back Up'!D1185</f>
        <v>20</v>
      </c>
      <c r="BW91" s="167">
        <f>'Factor D Back Up'!E1185</f>
        <v>173.72640719122603</v>
      </c>
      <c r="BX91" s="167">
        <f>'Factor D Back Up'!F1185</f>
        <v>3474.5281438245206</v>
      </c>
      <c r="BY91" s="184">
        <f>'Factor D Back Up'!G1185</f>
        <v>409.15364395516849</v>
      </c>
      <c r="BZ91" s="184">
        <f>'Factor D Back Up'!H1185</f>
        <v>1421615.8510705903</v>
      </c>
      <c r="CA91" s="86"/>
      <c r="CB91" s="187">
        <f t="shared" si="107"/>
        <v>22956967.463032842</v>
      </c>
      <c r="CC91" s="282">
        <f>+'linked - DO NOT USE or DELETE'!H75+'linked - DO NOT USE or DELETE'!M75+'linked - DO NOT USE or DELETE'!R75</f>
        <v>11202344.68</v>
      </c>
      <c r="CD91" s="281">
        <f t="shared" si="108"/>
        <v>34159312.143032841</v>
      </c>
      <c r="CE91" s="86"/>
      <c r="CF91" s="576">
        <f t="shared" si="95"/>
        <v>34159312.143032834</v>
      </c>
      <c r="CG91" s="86"/>
      <c r="CH91" s="86"/>
      <c r="CI91" s="86"/>
    </row>
    <row r="92" spans="1:87" ht="15" customHeight="1" x14ac:dyDescent="0.25">
      <c r="A92" s="81" t="s">
        <v>288</v>
      </c>
      <c r="B92" s="165" t="s">
        <v>138</v>
      </c>
      <c r="C92" s="590" t="s">
        <v>135</v>
      </c>
      <c r="D92" s="167">
        <v>27</v>
      </c>
      <c r="E92" s="167">
        <f t="shared" si="109"/>
        <v>176.85185185185185</v>
      </c>
      <c r="F92" s="167">
        <v>4775</v>
      </c>
      <c r="G92" s="184">
        <f t="shared" si="110"/>
        <v>443.6568041884816</v>
      </c>
      <c r="H92" s="184">
        <v>2118461.2399999998</v>
      </c>
      <c r="I92" s="167">
        <v>22</v>
      </c>
      <c r="J92" s="167">
        <f t="shared" si="111"/>
        <v>230</v>
      </c>
      <c r="K92" s="167">
        <v>5060</v>
      </c>
      <c r="L92" s="184">
        <f t="shared" si="112"/>
        <v>445.49169960474308</v>
      </c>
      <c r="M92" s="184">
        <v>2254188</v>
      </c>
      <c r="N92" s="167">
        <v>29</v>
      </c>
      <c r="O92" s="167">
        <f t="shared" si="113"/>
        <v>266.79310344827587</v>
      </c>
      <c r="P92" s="167">
        <v>7737</v>
      </c>
      <c r="Q92" s="184">
        <f t="shared" si="114"/>
        <v>444</v>
      </c>
      <c r="R92" s="184">
        <v>3435228</v>
      </c>
      <c r="S92" s="167">
        <v>26</v>
      </c>
      <c r="T92" s="167">
        <f t="shared" si="115"/>
        <v>242.15384615384616</v>
      </c>
      <c r="U92" s="167">
        <v>6296</v>
      </c>
      <c r="V92" s="184">
        <f t="shared" si="67"/>
        <v>443.99841168996187</v>
      </c>
      <c r="W92" s="184">
        <v>2795414</v>
      </c>
      <c r="X92" s="167">
        <v>23</v>
      </c>
      <c r="Y92" s="167">
        <f t="shared" si="116"/>
        <v>254.17391304347825</v>
      </c>
      <c r="Z92" s="167">
        <v>5846</v>
      </c>
      <c r="AA92" s="184">
        <f t="shared" si="117"/>
        <v>444</v>
      </c>
      <c r="AB92" s="184">
        <v>2595624</v>
      </c>
      <c r="AC92" s="167">
        <v>35</v>
      </c>
      <c r="AD92" s="167">
        <f t="shared" si="118"/>
        <v>168.71428571428572</v>
      </c>
      <c r="AE92" s="167">
        <v>5905</v>
      </c>
      <c r="AF92" s="184">
        <f t="shared" si="119"/>
        <v>379.92650296359017</v>
      </c>
      <c r="AG92" s="184">
        <v>2243466</v>
      </c>
      <c r="AH92" s="167">
        <v>29</v>
      </c>
      <c r="AI92" s="167">
        <f t="shared" si="102"/>
        <v>146.75862068965517</v>
      </c>
      <c r="AJ92" s="167">
        <v>4256</v>
      </c>
      <c r="AK92" s="184">
        <f t="shared" si="68"/>
        <v>381.46263157894737</v>
      </c>
      <c r="AL92" s="184">
        <v>1623504.96</v>
      </c>
      <c r="AM92" s="167">
        <v>22</v>
      </c>
      <c r="AN92" s="167">
        <f t="shared" si="103"/>
        <v>240.63636363636363</v>
      </c>
      <c r="AO92" s="167">
        <v>5294</v>
      </c>
      <c r="AP92" s="184">
        <f t="shared" si="104"/>
        <v>411.44649036645262</v>
      </c>
      <c r="AQ92" s="184">
        <v>2178197.7200000002</v>
      </c>
      <c r="AR92" s="167">
        <v>26</v>
      </c>
      <c r="AS92" s="167">
        <f t="shared" si="105"/>
        <v>217.73076923076923</v>
      </c>
      <c r="AT92" s="167">
        <v>5661</v>
      </c>
      <c r="AU92" s="184">
        <f t="shared" si="106"/>
        <v>406.80683978095743</v>
      </c>
      <c r="AV92" s="184">
        <v>2302933.52</v>
      </c>
      <c r="AW92" s="167">
        <f>'Factor D Back Up'!D1198</f>
        <v>25</v>
      </c>
      <c r="AX92" s="167">
        <f>'Factor D Back Up'!E1198</f>
        <v>206.13888106883277</v>
      </c>
      <c r="AY92" s="167">
        <f>'Factor D Back Up'!F1198</f>
        <v>5153.4720267208195</v>
      </c>
      <c r="AZ92" s="184">
        <f>'Factor D Back Up'!G1198</f>
        <v>400.79</v>
      </c>
      <c r="BA92" s="184">
        <f>'Factor D Back Up'!H1198</f>
        <v>2065460.0535894374</v>
      </c>
      <c r="BB92" s="167">
        <f>'Factor D Back Up'!D1199</f>
        <v>24</v>
      </c>
      <c r="BC92" s="167">
        <f>'Factor D Back Up'!E1199</f>
        <v>204.17081830996543</v>
      </c>
      <c r="BD92" s="167">
        <f>'Factor D Back Up'!F1199</f>
        <v>4900.0996394391705</v>
      </c>
      <c r="BE92" s="184">
        <f>'Factor D Back Up'!G1199</f>
        <v>411.21</v>
      </c>
      <c r="BF92" s="184">
        <f>'Factor D Back Up'!H1199</f>
        <v>2014969.9727337812</v>
      </c>
      <c r="BG92" s="167">
        <f>'Factor D Back Up'!D1200</f>
        <v>24</v>
      </c>
      <c r="BH92" s="167">
        <f>'Factor D Back Up'!E1200</f>
        <v>202.20275555109808</v>
      </c>
      <c r="BI92" s="167">
        <f>'Factor D Back Up'!F1200</f>
        <v>4852.8661332263537</v>
      </c>
      <c r="BJ92" s="184">
        <f>'Factor D Back Up'!G1200</f>
        <v>421.90145999999999</v>
      </c>
      <c r="BK92" s="184">
        <f>'Factor D Back Up'!H1200</f>
        <v>2047431.3067927531</v>
      </c>
      <c r="BL92" s="167">
        <f>'Factor D Back Up'!D1201</f>
        <v>23</v>
      </c>
      <c r="BM92" s="167">
        <f>'Factor D Back Up'!E1201</f>
        <v>200.2346927922307</v>
      </c>
      <c r="BN92" s="167">
        <f>'Factor D Back Up'!F1201</f>
        <v>4605.3979342213061</v>
      </c>
      <c r="BO92" s="184">
        <f>'Factor D Back Up'!G1201</f>
        <v>432.87089795999998</v>
      </c>
      <c r="BP92" s="184">
        <f>'Factor D Back Up'!H1201</f>
        <v>1993542.7392495056</v>
      </c>
      <c r="BQ92" s="167">
        <f>'Factor D Back Up'!D1202</f>
        <v>23</v>
      </c>
      <c r="BR92" s="167">
        <f>'Factor D Back Up'!E1202</f>
        <v>198.26663003336336</v>
      </c>
      <c r="BS92" s="167">
        <f>'Factor D Back Up'!F1202</f>
        <v>4560.132490767357</v>
      </c>
      <c r="BT92" s="184">
        <f>'Factor D Back Up'!G1202</f>
        <v>444.12554130695997</v>
      </c>
      <c r="BU92" s="184">
        <f>'Factor D Back Up'!H1202</f>
        <v>2025271.3108935081</v>
      </c>
      <c r="BV92" s="167">
        <f>'Factor D Back Up'!D1203</f>
        <v>23</v>
      </c>
      <c r="BW92" s="167">
        <f>'Factor D Back Up'!E1203</f>
        <v>196.29856727449601</v>
      </c>
      <c r="BX92" s="167">
        <f>'Factor D Back Up'!F1203</f>
        <v>4514.867047313408</v>
      </c>
      <c r="BY92" s="184">
        <f>'Factor D Back Up'!G1203</f>
        <v>455.67280538094093</v>
      </c>
      <c r="BZ92" s="184">
        <f>'Factor D Back Up'!H1203</f>
        <v>2057302.1333712661</v>
      </c>
      <c r="CA92" s="86"/>
      <c r="CB92" s="187">
        <f t="shared" si="107"/>
        <v>25943117.71663025</v>
      </c>
      <c r="CC92" s="282">
        <f>+'linked - DO NOT USE or DELETE'!H76+'linked - DO NOT USE or DELETE'!M76+'linked - DO NOT USE or DELETE'!R76</f>
        <v>7807877.2400000002</v>
      </c>
      <c r="CD92" s="281">
        <f t="shared" si="108"/>
        <v>33750994.956630252</v>
      </c>
      <c r="CE92" s="86"/>
      <c r="CF92" s="576">
        <f t="shared" si="95"/>
        <v>33750994.956630252</v>
      </c>
      <c r="CG92" s="86"/>
      <c r="CH92" s="86"/>
      <c r="CI92" s="86"/>
    </row>
    <row r="93" spans="1:87" ht="15" customHeight="1" x14ac:dyDescent="0.25">
      <c r="A93" s="81" t="s">
        <v>287</v>
      </c>
      <c r="B93" s="165" t="s">
        <v>138</v>
      </c>
      <c r="C93" s="590" t="s">
        <v>135</v>
      </c>
      <c r="D93" s="167">
        <v>12</v>
      </c>
      <c r="E93" s="167">
        <f t="shared" si="109"/>
        <v>147.5</v>
      </c>
      <c r="F93" s="167">
        <v>1770</v>
      </c>
      <c r="G93" s="184">
        <f t="shared" si="110"/>
        <v>501.23107344632768</v>
      </c>
      <c r="H93" s="184">
        <v>887179</v>
      </c>
      <c r="I93" s="167">
        <v>14</v>
      </c>
      <c r="J93" s="167">
        <f t="shared" si="111"/>
        <v>165.42857142857142</v>
      </c>
      <c r="K93" s="167">
        <v>2316</v>
      </c>
      <c r="L93" s="184">
        <f t="shared" si="112"/>
        <v>550.47668393782385</v>
      </c>
      <c r="M93" s="184">
        <v>1274904</v>
      </c>
      <c r="N93" s="167">
        <v>14</v>
      </c>
      <c r="O93" s="167">
        <f t="shared" si="113"/>
        <v>257</v>
      </c>
      <c r="P93" s="167">
        <v>3598</v>
      </c>
      <c r="Q93" s="184">
        <f t="shared" si="114"/>
        <v>545.40494719288495</v>
      </c>
      <c r="R93" s="184">
        <v>1962367</v>
      </c>
      <c r="S93" s="167">
        <v>26</v>
      </c>
      <c r="T93" s="167">
        <f t="shared" si="115"/>
        <v>240.61538461538461</v>
      </c>
      <c r="U93" s="167">
        <v>6256</v>
      </c>
      <c r="V93" s="184">
        <f t="shared" si="67"/>
        <v>551</v>
      </c>
      <c r="W93" s="184">
        <v>3447056</v>
      </c>
      <c r="X93" s="167">
        <v>24</v>
      </c>
      <c r="Y93" s="167">
        <f t="shared" si="116"/>
        <v>270.29166666666669</v>
      </c>
      <c r="Z93" s="167">
        <v>6487</v>
      </c>
      <c r="AA93" s="184">
        <f t="shared" si="117"/>
        <v>550.96701094496689</v>
      </c>
      <c r="AB93" s="184">
        <v>3574123</v>
      </c>
      <c r="AC93" s="167">
        <v>31</v>
      </c>
      <c r="AD93" s="167">
        <f t="shared" si="118"/>
        <v>212.87096774193549</v>
      </c>
      <c r="AE93" s="167">
        <v>6599</v>
      </c>
      <c r="AF93" s="184">
        <f t="shared" si="119"/>
        <v>480.99045309895439</v>
      </c>
      <c r="AG93" s="184">
        <v>3174056</v>
      </c>
      <c r="AH93" s="167">
        <v>36</v>
      </c>
      <c r="AI93" s="167">
        <f t="shared" si="102"/>
        <v>141.94444444444446</v>
      </c>
      <c r="AJ93" s="167">
        <v>5110</v>
      </c>
      <c r="AK93" s="184">
        <f t="shared" si="68"/>
        <v>486.94885714285715</v>
      </c>
      <c r="AL93" s="184">
        <v>2488308.66</v>
      </c>
      <c r="AM93" s="167">
        <v>19</v>
      </c>
      <c r="AN93" s="167">
        <f t="shared" si="103"/>
        <v>202.73684210526315</v>
      </c>
      <c r="AO93" s="167">
        <v>3852</v>
      </c>
      <c r="AP93" s="184">
        <f t="shared" si="104"/>
        <v>520.8040732087228</v>
      </c>
      <c r="AQ93" s="184">
        <v>2006137.29</v>
      </c>
      <c r="AR93" s="167">
        <v>12</v>
      </c>
      <c r="AS93" s="167">
        <f t="shared" si="105"/>
        <v>207</v>
      </c>
      <c r="AT93" s="167">
        <v>2484</v>
      </c>
      <c r="AU93" s="184">
        <f t="shared" si="106"/>
        <v>509.24504830917874</v>
      </c>
      <c r="AV93" s="184">
        <v>1264964.7</v>
      </c>
      <c r="AW93" s="167">
        <f>'Factor D Back Up'!D1216</f>
        <v>12</v>
      </c>
      <c r="AX93" s="167">
        <f>'Factor D Back Up'!E1216</f>
        <v>212.71553778182246</v>
      </c>
      <c r="AY93" s="167">
        <f>'Factor D Back Up'!F1216</f>
        <v>2552.5864533818694</v>
      </c>
      <c r="AZ93" s="184">
        <f>'Factor D Back Up'!G1216</f>
        <v>499.56</v>
      </c>
      <c r="BA93" s="184">
        <f>'Factor D Back Up'!H1216</f>
        <v>1275170.0886514466</v>
      </c>
      <c r="BB93" s="167">
        <f>'Factor D Back Up'!D1217</f>
        <v>12</v>
      </c>
      <c r="BC93" s="167">
        <f>'Factor D Back Up'!E1217</f>
        <v>214.25002584924772</v>
      </c>
      <c r="BD93" s="167">
        <f>'Factor D Back Up'!F1217</f>
        <v>2571.0003101909724</v>
      </c>
      <c r="BE93" s="184">
        <f>'Factor D Back Up'!G1217</f>
        <v>512.54999999999995</v>
      </c>
      <c r="BF93" s="184">
        <f>'Factor D Back Up'!H1217</f>
        <v>1317766.2089883827</v>
      </c>
      <c r="BG93" s="167">
        <f>'Factor D Back Up'!D1218</f>
        <v>12</v>
      </c>
      <c r="BH93" s="167">
        <f>'Factor D Back Up'!E1218</f>
        <v>215.78451391667295</v>
      </c>
      <c r="BI93" s="167">
        <f>'Factor D Back Up'!F1218</f>
        <v>2589.4141670000754</v>
      </c>
      <c r="BJ93" s="184">
        <f>'Factor D Back Up'!G1218</f>
        <v>525.8762999999999</v>
      </c>
      <c r="BK93" s="184">
        <f>'Factor D Back Up'!H1218</f>
        <v>1361711.5413095816</v>
      </c>
      <c r="BL93" s="167">
        <f>'Factor D Back Up'!D1219</f>
        <v>12</v>
      </c>
      <c r="BM93" s="167">
        <f>'Factor D Back Up'!E1219</f>
        <v>217.31900198409821</v>
      </c>
      <c r="BN93" s="167">
        <f>'Factor D Back Up'!F1219</f>
        <v>2607.8280238091784</v>
      </c>
      <c r="BO93" s="184">
        <f>'Factor D Back Up'!G1219</f>
        <v>539.54908379999995</v>
      </c>
      <c r="BP93" s="184">
        <f>'Factor D Back Up'!H1219</f>
        <v>1407051.2209542065</v>
      </c>
      <c r="BQ93" s="167">
        <f>'Factor D Back Up'!D1220</f>
        <v>11</v>
      </c>
      <c r="BR93" s="167">
        <f>'Factor D Back Up'!E1220</f>
        <v>218.85349005152347</v>
      </c>
      <c r="BS93" s="167">
        <f>'Factor D Back Up'!F1220</f>
        <v>2407.3883905667581</v>
      </c>
      <c r="BT93" s="184">
        <f>'Factor D Back Up'!G1220</f>
        <v>553.5773599787999</v>
      </c>
      <c r="BU93" s="184">
        <f>'Factor D Back Up'!H1220</f>
        <v>1332675.709693558</v>
      </c>
      <c r="BV93" s="167">
        <f>'Factor D Back Up'!D1221</f>
        <v>11</v>
      </c>
      <c r="BW93" s="167">
        <f>'Factor D Back Up'!E1221</f>
        <v>220.38797811894869</v>
      </c>
      <c r="BX93" s="167">
        <f>'Factor D Back Up'!F1221</f>
        <v>2424.2677593084354</v>
      </c>
      <c r="BY93" s="184">
        <f>'Factor D Back Up'!G1221</f>
        <v>567.9703713382487</v>
      </c>
      <c r="BZ93" s="184">
        <f>'Factor D Back Up'!H1221</f>
        <v>1376912.2594777562</v>
      </c>
      <c r="CA93" s="86"/>
      <c r="CB93" s="187">
        <f t="shared" si="107"/>
        <v>24025932.679074932</v>
      </c>
      <c r="CC93" s="282">
        <f>+'linked - DO NOT USE or DELETE'!H77+'linked - DO NOT USE or DELETE'!M77+'linked - DO NOT USE or DELETE'!R77</f>
        <v>4124450</v>
      </c>
      <c r="CD93" s="281">
        <f t="shared" si="108"/>
        <v>28150382.679074932</v>
      </c>
      <c r="CE93" s="86"/>
      <c r="CF93" s="576">
        <f t="shared" si="95"/>
        <v>28150382.679074932</v>
      </c>
      <c r="CG93" s="86"/>
      <c r="CH93" s="86"/>
      <c r="CI93" s="86"/>
    </row>
    <row r="94" spans="1:87" s="17" customFormat="1" ht="15" customHeight="1" x14ac:dyDescent="0.25">
      <c r="A94" s="256" t="s">
        <v>286</v>
      </c>
      <c r="B94" s="165" t="s">
        <v>138</v>
      </c>
      <c r="C94" s="590" t="s">
        <v>135</v>
      </c>
      <c r="D94" s="167">
        <v>0</v>
      </c>
      <c r="E94" s="167" t="e">
        <f t="shared" ref="E94" si="120">F94/D94</f>
        <v>#DIV/0!</v>
      </c>
      <c r="F94" s="167">
        <v>0</v>
      </c>
      <c r="G94" s="184" t="e">
        <f t="shared" si="110"/>
        <v>#DIV/0!</v>
      </c>
      <c r="H94" s="184">
        <v>0</v>
      </c>
      <c r="I94" s="167">
        <v>0</v>
      </c>
      <c r="J94" s="167" t="e">
        <f t="shared" si="111"/>
        <v>#DIV/0!</v>
      </c>
      <c r="K94" s="167">
        <v>0</v>
      </c>
      <c r="L94" s="184" t="e">
        <f t="shared" si="112"/>
        <v>#DIV/0!</v>
      </c>
      <c r="M94" s="184">
        <v>0</v>
      </c>
      <c r="N94" s="167">
        <v>0</v>
      </c>
      <c r="O94" s="167" t="e">
        <f t="shared" si="113"/>
        <v>#DIV/0!</v>
      </c>
      <c r="P94" s="167">
        <v>0</v>
      </c>
      <c r="Q94" s="184" t="e">
        <f t="shared" si="114"/>
        <v>#DIV/0!</v>
      </c>
      <c r="R94" s="184">
        <v>0</v>
      </c>
      <c r="S94" s="167">
        <v>0</v>
      </c>
      <c r="T94" s="167" t="e">
        <f t="shared" si="115"/>
        <v>#DIV/0!</v>
      </c>
      <c r="U94" s="167">
        <v>0</v>
      </c>
      <c r="V94" s="184" t="e">
        <f t="shared" si="67"/>
        <v>#DIV/0!</v>
      </c>
      <c r="W94" s="184">
        <v>0</v>
      </c>
      <c r="X94" s="167">
        <v>0</v>
      </c>
      <c r="Y94" s="167" t="e">
        <f t="shared" si="116"/>
        <v>#DIV/0!</v>
      </c>
      <c r="Z94" s="167">
        <v>0</v>
      </c>
      <c r="AA94" s="184" t="e">
        <f t="shared" si="117"/>
        <v>#DIV/0!</v>
      </c>
      <c r="AB94" s="184">
        <v>0</v>
      </c>
      <c r="AC94" s="167">
        <v>0</v>
      </c>
      <c r="AD94" s="167" t="e">
        <f t="shared" si="118"/>
        <v>#DIV/0!</v>
      </c>
      <c r="AE94" s="167">
        <v>0</v>
      </c>
      <c r="AF94" s="184" t="e">
        <f t="shared" si="119"/>
        <v>#DIV/0!</v>
      </c>
      <c r="AG94" s="184">
        <v>0</v>
      </c>
      <c r="AH94" s="167">
        <v>6</v>
      </c>
      <c r="AI94" s="167">
        <f t="shared" si="102"/>
        <v>180.83333333333334</v>
      </c>
      <c r="AJ94" s="167">
        <v>1085</v>
      </c>
      <c r="AK94" s="184">
        <f t="shared" si="68"/>
        <v>546.36496774193552</v>
      </c>
      <c r="AL94" s="184">
        <v>592805.99</v>
      </c>
      <c r="AM94" s="167">
        <v>12</v>
      </c>
      <c r="AN94" s="167">
        <f t="shared" si="103"/>
        <v>201.5</v>
      </c>
      <c r="AO94" s="167">
        <v>2418</v>
      </c>
      <c r="AP94" s="184">
        <f t="shared" si="104"/>
        <v>575.9799999999999</v>
      </c>
      <c r="AQ94" s="184">
        <v>1392719.64</v>
      </c>
      <c r="AR94" s="167">
        <v>16</v>
      </c>
      <c r="AS94" s="167">
        <f t="shared" si="105"/>
        <v>245.75</v>
      </c>
      <c r="AT94" s="167">
        <v>3932</v>
      </c>
      <c r="AU94" s="184">
        <f t="shared" si="106"/>
        <v>551.18247965412002</v>
      </c>
      <c r="AV94" s="184">
        <v>2167249.5099999998</v>
      </c>
      <c r="AW94" s="167">
        <f>'Factor D Back Up'!D1594</f>
        <v>11</v>
      </c>
      <c r="AX94" s="167">
        <f>'Factor D Back Up'!E1594</f>
        <v>274.27777777777771</v>
      </c>
      <c r="AY94" s="167">
        <f>'Factor D Back Up'!F1594</f>
        <v>3017.0555555555547</v>
      </c>
      <c r="AZ94" s="184">
        <f>'Factor D Back Up'!G1594</f>
        <v>510.83</v>
      </c>
      <c r="BA94" s="184">
        <f>'Factor D Back Up'!H1594</f>
        <v>1541202.489444444</v>
      </c>
      <c r="BB94" s="167">
        <f>'Factor D Back Up'!D1595</f>
        <v>10</v>
      </c>
      <c r="BC94" s="167">
        <f>'Factor D Back Up'!E1595</f>
        <v>306.73611111111109</v>
      </c>
      <c r="BD94" s="167">
        <f>'Factor D Back Up'!F1595</f>
        <v>3067.3611111111109</v>
      </c>
      <c r="BE94" s="184">
        <f>'Factor D Back Up'!G1595</f>
        <v>524.11</v>
      </c>
      <c r="BF94" s="184">
        <f>'Factor D Back Up'!H1595</f>
        <v>1607634.6319444443</v>
      </c>
      <c r="BG94" s="167">
        <f>'Factor D Back Up'!D1596</f>
        <v>10</v>
      </c>
      <c r="BH94" s="167">
        <f>'Factor D Back Up'!E1596</f>
        <v>339.19444444444446</v>
      </c>
      <c r="BI94" s="167">
        <f>'Factor D Back Up'!F1596</f>
        <v>3391.9444444444443</v>
      </c>
      <c r="BJ94" s="184">
        <f>'Factor D Back Up'!G1596</f>
        <v>537.73685999999998</v>
      </c>
      <c r="BK94" s="184">
        <f>'Factor D Back Up'!H1596</f>
        <v>1823973.55485</v>
      </c>
      <c r="BL94" s="167">
        <f>'Factor D Back Up'!D1597</f>
        <v>10</v>
      </c>
      <c r="BM94" s="167">
        <f>'Factor D Back Up'!E1597</f>
        <v>365</v>
      </c>
      <c r="BN94" s="167">
        <f>'Factor D Back Up'!F1597</f>
        <v>3650</v>
      </c>
      <c r="BO94" s="184">
        <f>'Factor D Back Up'!G1597</f>
        <v>551.71801835999997</v>
      </c>
      <c r="BP94" s="184">
        <f>'Factor D Back Up'!H1597</f>
        <v>2013770.7670139999</v>
      </c>
      <c r="BQ94" s="167">
        <f>'Factor D Back Up'!D1598</f>
        <v>10</v>
      </c>
      <c r="BR94" s="167">
        <f>'Factor D Back Up'!E1598</f>
        <v>365</v>
      </c>
      <c r="BS94" s="167">
        <f>'Factor D Back Up'!F1598</f>
        <v>3650</v>
      </c>
      <c r="BT94" s="184">
        <f>'Factor D Back Up'!G1598</f>
        <v>566.06268683735993</v>
      </c>
      <c r="BU94" s="184">
        <f>'Factor D Back Up'!H1598</f>
        <v>2066128.8069563638</v>
      </c>
      <c r="BV94" s="167">
        <f>'Factor D Back Up'!D1599</f>
        <v>10</v>
      </c>
      <c r="BW94" s="167">
        <f>'Factor D Back Up'!E1599</f>
        <v>365</v>
      </c>
      <c r="BX94" s="167">
        <f>'Factor D Back Up'!F1599</f>
        <v>3650</v>
      </c>
      <c r="BY94" s="184">
        <f>'Factor D Back Up'!G1599</f>
        <v>580.78031669513132</v>
      </c>
      <c r="BZ94" s="184">
        <f>'Factor D Back Up'!H1599</f>
        <v>2119848.1559372293</v>
      </c>
      <c r="CA94" s="77"/>
      <c r="CB94" s="187">
        <f t="shared" si="107"/>
        <v>15325333.546146482</v>
      </c>
      <c r="CC94" s="283"/>
      <c r="CD94" s="281">
        <f t="shared" si="108"/>
        <v>15325333.546146482</v>
      </c>
      <c r="CE94" s="77"/>
      <c r="CF94" s="576">
        <f t="shared" si="95"/>
        <v>15325333.546146482</v>
      </c>
      <c r="CG94" s="77"/>
      <c r="CH94" s="77"/>
      <c r="CI94" s="77"/>
    </row>
    <row r="95" spans="1:87" ht="15" customHeight="1" x14ac:dyDescent="0.25">
      <c r="A95" s="80" t="s">
        <v>139</v>
      </c>
      <c r="B95" s="166" t="s">
        <v>184</v>
      </c>
      <c r="C95" s="590" t="s">
        <v>148</v>
      </c>
      <c r="D95" s="167">
        <v>812</v>
      </c>
      <c r="E95" s="167">
        <f t="shared" si="109"/>
        <v>1.8842364532019704</v>
      </c>
      <c r="F95" s="167">
        <v>1530</v>
      </c>
      <c r="G95" s="184">
        <f>'Factor D Back Up'!G1225</f>
        <v>85.586124183006532</v>
      </c>
      <c r="H95" s="184">
        <v>130946.77</v>
      </c>
      <c r="I95" s="167">
        <v>662</v>
      </c>
      <c r="J95" s="167">
        <f t="shared" si="111"/>
        <v>2.6631419939577041</v>
      </c>
      <c r="K95" s="167">
        <v>1763</v>
      </c>
      <c r="L95" s="184">
        <f>'Factor D Back Up'!G1226</f>
        <v>103.49968803176405</v>
      </c>
      <c r="M95" s="184">
        <v>182469.95</v>
      </c>
      <c r="N95" s="167">
        <v>22</v>
      </c>
      <c r="O95" s="167">
        <f t="shared" si="113"/>
        <v>1.4090909090909092</v>
      </c>
      <c r="P95" s="167">
        <v>31</v>
      </c>
      <c r="Q95" s="184">
        <f>'Factor D Back Up'!G1227</f>
        <v>124.08387096774193</v>
      </c>
      <c r="R95" s="184">
        <v>3846.6</v>
      </c>
      <c r="S95" s="167">
        <v>3</v>
      </c>
      <c r="T95" s="167">
        <f t="shared" si="115"/>
        <v>1</v>
      </c>
      <c r="U95" s="167">
        <v>3</v>
      </c>
      <c r="V95" s="184">
        <f t="shared" si="67"/>
        <v>80.833333333333329</v>
      </c>
      <c r="W95" s="184">
        <v>242.5</v>
      </c>
      <c r="X95" s="167">
        <v>149</v>
      </c>
      <c r="Y95" s="167">
        <f t="shared" si="116"/>
        <v>1.261744966442953</v>
      </c>
      <c r="Z95" s="167">
        <v>188</v>
      </c>
      <c r="AA95" s="184">
        <f t="shared" si="117"/>
        <v>122.84468085106383</v>
      </c>
      <c r="AB95" s="184">
        <v>23094.799999999999</v>
      </c>
      <c r="AC95" s="167">
        <v>106</v>
      </c>
      <c r="AD95" s="167">
        <f t="shared" si="118"/>
        <v>1.179245283018868</v>
      </c>
      <c r="AE95" s="167">
        <v>125</v>
      </c>
      <c r="AF95" s="184">
        <f t="shared" si="119"/>
        <v>138.93600000000001</v>
      </c>
      <c r="AG95" s="184">
        <v>17367</v>
      </c>
      <c r="AH95" s="167">
        <v>141</v>
      </c>
      <c r="AI95" s="167">
        <f t="shared" si="102"/>
        <v>1.3120567375886525</v>
      </c>
      <c r="AJ95" s="167">
        <v>185</v>
      </c>
      <c r="AK95" s="184">
        <f t="shared" si="68"/>
        <v>72.850810810810813</v>
      </c>
      <c r="AL95" s="184">
        <v>13477.4</v>
      </c>
      <c r="AM95" s="167">
        <v>134</v>
      </c>
      <c r="AN95" s="167">
        <f t="shared" si="103"/>
        <v>1.4925373134328359</v>
      </c>
      <c r="AO95" s="167">
        <v>200</v>
      </c>
      <c r="AP95" s="184">
        <f t="shared" si="104"/>
        <v>68.92649999999999</v>
      </c>
      <c r="AQ95" s="184">
        <v>13785.3</v>
      </c>
      <c r="AR95" s="167">
        <v>108</v>
      </c>
      <c r="AS95" s="167">
        <f t="shared" si="105"/>
        <v>1.6666666666666667</v>
      </c>
      <c r="AT95" s="167">
        <v>180</v>
      </c>
      <c r="AU95" s="184">
        <f t="shared" si="106"/>
        <v>78.237222222222229</v>
      </c>
      <c r="AV95" s="184">
        <v>14082.7</v>
      </c>
      <c r="AW95" s="167">
        <f>'Factor D Back Up'!D1234</f>
        <v>114</v>
      </c>
      <c r="AX95" s="167">
        <f>'Factor D Back Up'!E1234</f>
        <v>1.1745592375138292</v>
      </c>
      <c r="AY95" s="167">
        <f>'Factor D Back Up'!F1234</f>
        <v>133.89975307657653</v>
      </c>
      <c r="AZ95" s="184">
        <f>'Factor D Back Up'!G1234</f>
        <v>98.500754128961461</v>
      </c>
      <c r="BA95" s="184">
        <f>'Factor D Back Up'!H1234</f>
        <v>13189.226655724517</v>
      </c>
      <c r="BB95" s="167">
        <f>'Factor D Back Up'!D1235</f>
        <v>105</v>
      </c>
      <c r="BC95" s="167">
        <f>'Factor D Back Up'!E1235</f>
        <v>1.1012773000521383</v>
      </c>
      <c r="BD95" s="167">
        <f>'Factor D Back Up'!F1235</f>
        <v>115.63411650547452</v>
      </c>
      <c r="BE95" s="184">
        <f>'Factor D Back Up'!G1235</f>
        <v>101.06177373631446</v>
      </c>
      <c r="BF95" s="184">
        <f>'Factor D Back Up'!H1235</f>
        <v>11686.188918474892</v>
      </c>
      <c r="BG95" s="167">
        <f>'Factor D Back Up'!D1236</f>
        <v>100</v>
      </c>
      <c r="BH95" s="167">
        <f>'Factor D Back Up'!E1236</f>
        <v>1.0279953625904472</v>
      </c>
      <c r="BI95" s="167">
        <f>'Factor D Back Up'!F1236</f>
        <v>102.79953625904471</v>
      </c>
      <c r="BJ95" s="184">
        <f>'Factor D Back Up'!G1236</f>
        <v>103.68937985345865</v>
      </c>
      <c r="BK95" s="184">
        <f>'Factor D Back Up'!H1236</f>
        <v>10659.220163923483</v>
      </c>
      <c r="BL95" s="167">
        <f>'Factor D Back Up'!D1237</f>
        <v>96</v>
      </c>
      <c r="BM95" s="167">
        <f>'Factor D Back Up'!E1237</f>
        <v>0.95471342512875601</v>
      </c>
      <c r="BN95" s="167">
        <f>'Factor D Back Up'!F1237</f>
        <v>91.652488812360573</v>
      </c>
      <c r="BO95" s="184">
        <f>'Factor D Back Up'!G1237</f>
        <v>106.38530372964857</v>
      </c>
      <c r="BP95" s="184">
        <f>'Factor D Back Up'!H1237</f>
        <v>9750.4778598811972</v>
      </c>
      <c r="BQ95" s="167">
        <f>'Factor D Back Up'!D1238</f>
        <v>92</v>
      </c>
      <c r="BR95" s="167">
        <f>'Factor D Back Up'!E1238</f>
        <v>0.88143148766706503</v>
      </c>
      <c r="BS95" s="167">
        <f>'Factor D Back Up'!F1238</f>
        <v>81.091696865369983</v>
      </c>
      <c r="BT95" s="184">
        <f>'Factor D Back Up'!G1238</f>
        <v>109.15132162661943</v>
      </c>
      <c r="BU95" s="184">
        <f>'Factor D Back Up'!H1238</f>
        <v>8851.2658858003251</v>
      </c>
      <c r="BV95" s="167">
        <f>'Factor D Back Up'!D1239</f>
        <v>89</v>
      </c>
      <c r="BW95" s="167">
        <f>'Factor D Back Up'!E1239</f>
        <v>0.80814955020537393</v>
      </c>
      <c r="BX95" s="167">
        <f>'Factor D Back Up'!F1239</f>
        <v>71.925309968278285</v>
      </c>
      <c r="BY95" s="184">
        <f>'Factor D Back Up'!G1239</f>
        <v>111.98925598891154</v>
      </c>
      <c r="BZ95" s="184">
        <f>'Factor D Back Up'!H1239</f>
        <v>8054.861950119328</v>
      </c>
      <c r="CB95" s="187">
        <f t="shared" si="107"/>
        <v>144240.94143392373</v>
      </c>
      <c r="CC95" s="187">
        <f>+'linked - DO NOT USE or DELETE'!H78+'linked - DO NOT USE or DELETE'!M78+'linked - DO NOT USE or DELETE'!R78</f>
        <v>317263.32</v>
      </c>
      <c r="CD95" s="281">
        <f t="shared" si="108"/>
        <v>461504.26143392373</v>
      </c>
      <c r="CF95" s="576">
        <f t="shared" si="95"/>
        <v>461504.26143392368</v>
      </c>
    </row>
    <row r="96" spans="1:87" s="17" customFormat="1" ht="15" customHeight="1" x14ac:dyDescent="0.25">
      <c r="A96" s="80" t="s">
        <v>344</v>
      </c>
      <c r="B96" s="166"/>
      <c r="C96" s="590" t="s">
        <v>152</v>
      </c>
      <c r="D96" s="167">
        <v>0</v>
      </c>
      <c r="E96" s="167" t="e">
        <f t="shared" si="109"/>
        <v>#DIV/0!</v>
      </c>
      <c r="F96" s="167">
        <v>0</v>
      </c>
      <c r="G96" s="184" t="e">
        <f t="shared" ref="G96:G113" si="121">H96/F96</f>
        <v>#DIV/0!</v>
      </c>
      <c r="H96" s="184">
        <v>0</v>
      </c>
      <c r="I96" s="167">
        <v>0</v>
      </c>
      <c r="J96" s="167" t="e">
        <f t="shared" si="111"/>
        <v>#DIV/0!</v>
      </c>
      <c r="K96" s="167">
        <v>0</v>
      </c>
      <c r="L96" s="184" t="e">
        <f t="shared" ref="L96:L113" si="122">M96/K96</f>
        <v>#DIV/0!</v>
      </c>
      <c r="M96" s="184">
        <v>0</v>
      </c>
      <c r="N96" s="167">
        <v>0</v>
      </c>
      <c r="O96" s="167" t="e">
        <f t="shared" si="113"/>
        <v>#DIV/0!</v>
      </c>
      <c r="P96" s="167">
        <v>0</v>
      </c>
      <c r="Q96" s="184" t="e">
        <f t="shared" ref="Q96:Q113" si="123">R96/P96</f>
        <v>#DIV/0!</v>
      </c>
      <c r="R96" s="184">
        <v>0</v>
      </c>
      <c r="S96" s="167">
        <v>0</v>
      </c>
      <c r="T96" s="167" t="e">
        <f t="shared" si="115"/>
        <v>#DIV/0!</v>
      </c>
      <c r="U96" s="167">
        <v>0</v>
      </c>
      <c r="V96" s="184" t="e">
        <f t="shared" si="67"/>
        <v>#DIV/0!</v>
      </c>
      <c r="W96" s="184">
        <v>0</v>
      </c>
      <c r="X96" s="167">
        <v>0</v>
      </c>
      <c r="Y96" s="167" t="e">
        <f t="shared" si="116"/>
        <v>#DIV/0!</v>
      </c>
      <c r="Z96" s="167">
        <v>0</v>
      </c>
      <c r="AA96" s="184" t="e">
        <f t="shared" si="117"/>
        <v>#DIV/0!</v>
      </c>
      <c r="AB96" s="184">
        <v>0</v>
      </c>
      <c r="AC96" s="167">
        <v>0</v>
      </c>
      <c r="AD96" s="167" t="e">
        <f t="shared" si="118"/>
        <v>#DIV/0!</v>
      </c>
      <c r="AE96" s="167">
        <v>0</v>
      </c>
      <c r="AF96" s="184" t="e">
        <f t="shared" si="119"/>
        <v>#DIV/0!</v>
      </c>
      <c r="AG96" s="184">
        <v>0</v>
      </c>
      <c r="AH96" s="167">
        <v>114</v>
      </c>
      <c r="AI96" s="167">
        <f t="shared" si="102"/>
        <v>589.33333333333337</v>
      </c>
      <c r="AJ96" s="167">
        <v>67184</v>
      </c>
      <c r="AK96" s="184">
        <f t="shared" si="68"/>
        <v>6.0364601690878779</v>
      </c>
      <c r="AL96" s="184">
        <v>405553.54</v>
      </c>
      <c r="AM96" s="167">
        <v>217</v>
      </c>
      <c r="AN96" s="167">
        <f t="shared" si="103"/>
        <v>1341.9539170506912</v>
      </c>
      <c r="AO96" s="167">
        <v>291204</v>
      </c>
      <c r="AP96" s="184">
        <f t="shared" si="104"/>
        <v>5.9759576791527591</v>
      </c>
      <c r="AQ96" s="184">
        <v>1740222.78</v>
      </c>
      <c r="AR96" s="167">
        <v>248</v>
      </c>
      <c r="AS96" s="167">
        <f t="shared" si="105"/>
        <v>1557.1048387096773</v>
      </c>
      <c r="AT96" s="167">
        <v>386162</v>
      </c>
      <c r="AU96" s="184">
        <f t="shared" si="106"/>
        <v>5.3143218649167965</v>
      </c>
      <c r="AV96" s="184">
        <v>2052189.16</v>
      </c>
      <c r="AW96" s="167">
        <f>'Factor D Back Up'!D1252</f>
        <v>254</v>
      </c>
      <c r="AX96" s="167">
        <f>'Factor D Back Up'!E1252</f>
        <v>1087.2557603686637</v>
      </c>
      <c r="AY96" s="167">
        <f>'Factor D Back Up'!F1252</f>
        <v>276162.96313364059</v>
      </c>
      <c r="AZ96" s="184">
        <f>'Factor D Back Up'!G1252</f>
        <v>5.36</v>
      </c>
      <c r="BA96" s="184">
        <f>'Factor D Back Up'!H1252</f>
        <v>1480233.4823963137</v>
      </c>
      <c r="BB96" s="167">
        <f>'Factor D Back Up'!D1253</f>
        <v>338</v>
      </c>
      <c r="BC96" s="167">
        <f>'Factor D Back Up'!E1253</f>
        <v>1087.2557603686637</v>
      </c>
      <c r="BD96" s="167">
        <f>'Factor D Back Up'!F1253</f>
        <v>367492.44700460834</v>
      </c>
      <c r="BE96" s="184">
        <f>'Factor D Back Up'!G1253</f>
        <v>6.08</v>
      </c>
      <c r="BF96" s="184">
        <f>'Factor D Back Up'!H1253</f>
        <v>2234354.0777880186</v>
      </c>
      <c r="BG96" s="167">
        <f>'Factor D Back Up'!D1254</f>
        <v>382</v>
      </c>
      <c r="BH96" s="167">
        <f>'Factor D Back Up'!E1254</f>
        <v>1087.2557603686637</v>
      </c>
      <c r="BI96" s="167">
        <f>'Factor D Back Up'!F1254</f>
        <v>415331.70046082954</v>
      </c>
      <c r="BJ96" s="184">
        <f>'Factor D Back Up'!G1254</f>
        <v>6.2380800000000001</v>
      </c>
      <c r="BK96" s="184">
        <f>'Factor D Back Up'!H1254</f>
        <v>2590872.3740106914</v>
      </c>
      <c r="BL96" s="167">
        <f>'Factor D Back Up'!D1255</f>
        <v>420</v>
      </c>
      <c r="BM96" s="167">
        <f>'Factor D Back Up'!E1255</f>
        <v>1087.2557603686637</v>
      </c>
      <c r="BN96" s="167">
        <f>'Factor D Back Up'!F1255</f>
        <v>456647.41935483873</v>
      </c>
      <c r="BO96" s="184">
        <f>'Factor D Back Up'!G1255</f>
        <v>6.4002700800000003</v>
      </c>
      <c r="BP96" s="184">
        <f>'Factor D Back Up'!H1255</f>
        <v>2922666.8152059875</v>
      </c>
      <c r="BQ96" s="167">
        <f>'Factor D Back Up'!D1256</f>
        <v>436</v>
      </c>
      <c r="BR96" s="167">
        <f>'Factor D Back Up'!E1256</f>
        <v>1087.2557603686637</v>
      </c>
      <c r="BS96" s="167">
        <f>'Factor D Back Up'!F1256</f>
        <v>474043.51152073737</v>
      </c>
      <c r="BT96" s="184">
        <f>'Factor D Back Up'!G1256</f>
        <v>6.5666771020799999</v>
      </c>
      <c r="BU96" s="184">
        <f>'Factor D Back Up'!H1256</f>
        <v>3112890.6724928226</v>
      </c>
      <c r="BV96" s="167">
        <f>'Factor D Back Up'!D1257</f>
        <v>451</v>
      </c>
      <c r="BW96" s="167">
        <f>'Factor D Back Up'!E1257</f>
        <v>1087.2557603686637</v>
      </c>
      <c r="BX96" s="167">
        <f>'Factor D Back Up'!F1257</f>
        <v>490352.34792626731</v>
      </c>
      <c r="BY96" s="184">
        <f>'Factor D Back Up'!G1257</f>
        <v>6.7374107067340798</v>
      </c>
      <c r="BZ96" s="184">
        <f>'Factor D Back Up'!H1257</f>
        <v>3303705.1589906281</v>
      </c>
      <c r="CB96" s="187">
        <f t="shared" si="107"/>
        <v>19842688.060884461</v>
      </c>
      <c r="CC96" s="238"/>
      <c r="CD96" s="281">
        <f t="shared" si="108"/>
        <v>19842688.060884461</v>
      </c>
      <c r="CF96" s="576">
        <f t="shared" si="95"/>
        <v>19842688.060884461</v>
      </c>
    </row>
    <row r="97" spans="1:84" s="17" customFormat="1" ht="15" customHeight="1" x14ac:dyDescent="0.25">
      <c r="A97" s="79" t="s">
        <v>346</v>
      </c>
      <c r="B97" s="166"/>
      <c r="C97" s="590" t="s">
        <v>152</v>
      </c>
      <c r="D97" s="167">
        <v>0</v>
      </c>
      <c r="E97" s="167" t="e">
        <f t="shared" si="109"/>
        <v>#DIV/0!</v>
      </c>
      <c r="F97" s="167">
        <v>0</v>
      </c>
      <c r="G97" s="184" t="e">
        <f t="shared" si="121"/>
        <v>#DIV/0!</v>
      </c>
      <c r="H97" s="184">
        <v>0</v>
      </c>
      <c r="I97" s="167">
        <v>0</v>
      </c>
      <c r="J97" s="167" t="e">
        <f t="shared" si="111"/>
        <v>#DIV/0!</v>
      </c>
      <c r="K97" s="167">
        <v>0</v>
      </c>
      <c r="L97" s="184" t="e">
        <f t="shared" si="122"/>
        <v>#DIV/0!</v>
      </c>
      <c r="M97" s="184">
        <v>0</v>
      </c>
      <c r="N97" s="167">
        <v>0</v>
      </c>
      <c r="O97" s="167" t="e">
        <f t="shared" si="113"/>
        <v>#DIV/0!</v>
      </c>
      <c r="P97" s="167">
        <v>0</v>
      </c>
      <c r="Q97" s="184" t="e">
        <f t="shared" si="123"/>
        <v>#DIV/0!</v>
      </c>
      <c r="R97" s="184">
        <v>0</v>
      </c>
      <c r="S97" s="167">
        <v>0</v>
      </c>
      <c r="T97" s="167" t="e">
        <f t="shared" si="115"/>
        <v>#DIV/0!</v>
      </c>
      <c r="U97" s="167">
        <v>0</v>
      </c>
      <c r="V97" s="184" t="e">
        <f t="shared" si="67"/>
        <v>#DIV/0!</v>
      </c>
      <c r="W97" s="184">
        <v>0</v>
      </c>
      <c r="X97" s="167">
        <v>0</v>
      </c>
      <c r="Y97" s="167" t="e">
        <f t="shared" si="116"/>
        <v>#DIV/0!</v>
      </c>
      <c r="Z97" s="167">
        <v>0</v>
      </c>
      <c r="AA97" s="184" t="e">
        <f t="shared" si="117"/>
        <v>#DIV/0!</v>
      </c>
      <c r="AB97" s="184">
        <v>0</v>
      </c>
      <c r="AC97" s="167">
        <v>0</v>
      </c>
      <c r="AD97" s="167" t="e">
        <f t="shared" si="118"/>
        <v>#DIV/0!</v>
      </c>
      <c r="AE97" s="167">
        <v>0</v>
      </c>
      <c r="AF97" s="184" t="e">
        <f t="shared" si="119"/>
        <v>#DIV/0!</v>
      </c>
      <c r="AG97" s="184">
        <v>0</v>
      </c>
      <c r="AH97" s="167">
        <v>0</v>
      </c>
      <c r="AI97" s="167" t="e">
        <f t="shared" si="102"/>
        <v>#DIV/0!</v>
      </c>
      <c r="AJ97" s="167">
        <v>0</v>
      </c>
      <c r="AK97" s="184" t="e">
        <f t="shared" si="68"/>
        <v>#DIV/0!</v>
      </c>
      <c r="AL97" s="184">
        <v>0</v>
      </c>
      <c r="AM97" s="167">
        <v>0</v>
      </c>
      <c r="AN97" s="167" t="e">
        <f t="shared" si="103"/>
        <v>#DIV/0!</v>
      </c>
      <c r="AO97" s="167">
        <v>0</v>
      </c>
      <c r="AP97" s="184" t="e">
        <f t="shared" si="104"/>
        <v>#DIV/0!</v>
      </c>
      <c r="AQ97" s="184">
        <v>0</v>
      </c>
      <c r="AR97" s="167">
        <v>0</v>
      </c>
      <c r="AS97" s="167" t="e">
        <f t="shared" si="105"/>
        <v>#DIV/0!</v>
      </c>
      <c r="AT97" s="167">
        <v>0</v>
      </c>
      <c r="AU97" s="184" t="e">
        <f t="shared" si="106"/>
        <v>#DIV/0!</v>
      </c>
      <c r="AV97" s="184">
        <v>0</v>
      </c>
      <c r="AW97" s="167">
        <f>'Factor D Back Up'!D1648</f>
        <v>0</v>
      </c>
      <c r="AX97" s="167">
        <f>'Factor D Back Up'!E1648</f>
        <v>0</v>
      </c>
      <c r="AY97" s="167">
        <f>'Factor D Back Up'!F1648</f>
        <v>0</v>
      </c>
      <c r="AZ97" s="184">
        <f>'Factor D Back Up'!G1648</f>
        <v>9.5</v>
      </c>
      <c r="BA97" s="184">
        <f>'Factor D Back Up'!H1648</f>
        <v>0</v>
      </c>
      <c r="BB97" s="167">
        <f>'Factor D Back Up'!D1649</f>
        <v>35</v>
      </c>
      <c r="BC97" s="167">
        <f>'Factor D Back Up'!E1649</f>
        <v>750</v>
      </c>
      <c r="BD97" s="167">
        <f>'Factor D Back Up'!F1649</f>
        <v>26250</v>
      </c>
      <c r="BE97" s="184">
        <f>'Factor D Back Up'!G1649</f>
        <v>8.76</v>
      </c>
      <c r="BF97" s="184">
        <f>'Factor D Back Up'!H1649</f>
        <v>229950</v>
      </c>
      <c r="BG97" s="167">
        <f>'Factor D Back Up'!D1650</f>
        <v>50</v>
      </c>
      <c r="BH97" s="167">
        <f>'Factor D Back Up'!E1650</f>
        <v>726</v>
      </c>
      <c r="BI97" s="167">
        <f>'Factor D Back Up'!F1650</f>
        <v>36300</v>
      </c>
      <c r="BJ97" s="184">
        <f>'Factor D Back Up'!G1650</f>
        <v>8.9877599999999997</v>
      </c>
      <c r="BK97" s="184">
        <f>'Factor D Back Up'!H1650</f>
        <v>326255.68799999997</v>
      </c>
      <c r="BL97" s="167">
        <f>'Factor D Back Up'!D1651</f>
        <v>70</v>
      </c>
      <c r="BM97" s="167">
        <f>'Factor D Back Up'!E1651</f>
        <v>702</v>
      </c>
      <c r="BN97" s="167">
        <f>'Factor D Back Up'!F1651</f>
        <v>49140</v>
      </c>
      <c r="BO97" s="184">
        <f>'Factor D Back Up'!G1651</f>
        <v>9.2214417599999994</v>
      </c>
      <c r="BP97" s="184">
        <f>'Factor D Back Up'!H1651</f>
        <v>453141.64808639995</v>
      </c>
      <c r="BQ97" s="167">
        <f>'Factor D Back Up'!D1652</f>
        <v>93</v>
      </c>
      <c r="BR97" s="167">
        <f>'Factor D Back Up'!E1652</f>
        <v>678</v>
      </c>
      <c r="BS97" s="167">
        <f>'Factor D Back Up'!F1652</f>
        <v>63054</v>
      </c>
      <c r="BT97" s="184">
        <f>'Factor D Back Up'!G1652</f>
        <v>9.4611992457599996</v>
      </c>
      <c r="BU97" s="184">
        <f>'Factor D Back Up'!H1652</f>
        <v>596566.45724215102</v>
      </c>
      <c r="BV97" s="167">
        <f>'Factor D Back Up'!D1653</f>
        <v>95</v>
      </c>
      <c r="BW97" s="167">
        <f>'Factor D Back Up'!E1653</f>
        <v>678</v>
      </c>
      <c r="BX97" s="167">
        <f>'Factor D Back Up'!F1653</f>
        <v>64410</v>
      </c>
      <c r="BY97" s="184">
        <f>'Factor D Back Up'!G1653</f>
        <v>9.7071904261497597</v>
      </c>
      <c r="BZ97" s="184">
        <f>'Factor D Back Up'!H1653</f>
        <v>625240.13534830604</v>
      </c>
      <c r="CB97" s="187">
        <f t="shared" si="107"/>
        <v>2231153.9286768571</v>
      </c>
      <c r="CC97" s="238"/>
      <c r="CD97" s="281">
        <f t="shared" si="108"/>
        <v>2231153.9286768571</v>
      </c>
      <c r="CF97" s="576">
        <f t="shared" si="95"/>
        <v>2231153.9286768567</v>
      </c>
    </row>
    <row r="98" spans="1:84" s="17" customFormat="1" ht="15" customHeight="1" x14ac:dyDescent="0.25">
      <c r="A98" s="79" t="s">
        <v>345</v>
      </c>
      <c r="B98" s="166"/>
      <c r="C98" s="590" t="s">
        <v>135</v>
      </c>
      <c r="D98" s="167">
        <v>0</v>
      </c>
      <c r="E98" s="167" t="e">
        <f t="shared" si="109"/>
        <v>#DIV/0!</v>
      </c>
      <c r="F98" s="167">
        <v>0</v>
      </c>
      <c r="G98" s="184" t="e">
        <f t="shared" si="121"/>
        <v>#DIV/0!</v>
      </c>
      <c r="H98" s="184">
        <v>0</v>
      </c>
      <c r="I98" s="167">
        <v>0</v>
      </c>
      <c r="J98" s="167" t="e">
        <f t="shared" si="111"/>
        <v>#DIV/0!</v>
      </c>
      <c r="K98" s="167">
        <v>0</v>
      </c>
      <c r="L98" s="184" t="e">
        <f t="shared" si="122"/>
        <v>#DIV/0!</v>
      </c>
      <c r="M98" s="184">
        <v>0</v>
      </c>
      <c r="N98" s="167">
        <v>0</v>
      </c>
      <c r="O98" s="167" t="e">
        <f t="shared" si="113"/>
        <v>#DIV/0!</v>
      </c>
      <c r="P98" s="167">
        <v>0</v>
      </c>
      <c r="Q98" s="184" t="e">
        <f t="shared" si="123"/>
        <v>#DIV/0!</v>
      </c>
      <c r="R98" s="184">
        <v>0</v>
      </c>
      <c r="S98" s="167">
        <v>0</v>
      </c>
      <c r="T98" s="167" t="e">
        <f t="shared" si="115"/>
        <v>#DIV/0!</v>
      </c>
      <c r="U98" s="167">
        <v>0</v>
      </c>
      <c r="V98" s="184" t="e">
        <f t="shared" si="67"/>
        <v>#DIV/0!</v>
      </c>
      <c r="W98" s="184">
        <v>0</v>
      </c>
      <c r="X98" s="167">
        <v>0</v>
      </c>
      <c r="Y98" s="167" t="e">
        <f t="shared" si="116"/>
        <v>#DIV/0!</v>
      </c>
      <c r="Z98" s="167">
        <v>0</v>
      </c>
      <c r="AA98" s="184" t="e">
        <f t="shared" si="117"/>
        <v>#DIV/0!</v>
      </c>
      <c r="AB98" s="184">
        <v>0</v>
      </c>
      <c r="AC98" s="167">
        <v>0</v>
      </c>
      <c r="AD98" s="167" t="e">
        <f t="shared" si="118"/>
        <v>#DIV/0!</v>
      </c>
      <c r="AE98" s="167">
        <v>0</v>
      </c>
      <c r="AF98" s="184" t="e">
        <f t="shared" si="119"/>
        <v>#DIV/0!</v>
      </c>
      <c r="AG98" s="184">
        <v>0</v>
      </c>
      <c r="AH98" s="167">
        <v>0</v>
      </c>
      <c r="AI98" s="167" t="e">
        <f t="shared" si="102"/>
        <v>#DIV/0!</v>
      </c>
      <c r="AJ98" s="167">
        <v>0</v>
      </c>
      <c r="AK98" s="184" t="e">
        <f t="shared" si="68"/>
        <v>#DIV/0!</v>
      </c>
      <c r="AL98" s="184">
        <v>0</v>
      </c>
      <c r="AM98" s="167">
        <v>0</v>
      </c>
      <c r="AN98" s="167" t="e">
        <f t="shared" si="103"/>
        <v>#DIV/0!</v>
      </c>
      <c r="AO98" s="167">
        <v>0</v>
      </c>
      <c r="AP98" s="184" t="e">
        <f t="shared" si="104"/>
        <v>#DIV/0!</v>
      </c>
      <c r="AQ98" s="184">
        <v>0</v>
      </c>
      <c r="AR98" s="167">
        <v>0</v>
      </c>
      <c r="AS98" s="167" t="e">
        <f t="shared" si="105"/>
        <v>#DIV/0!</v>
      </c>
      <c r="AT98" s="167">
        <v>0</v>
      </c>
      <c r="AU98" s="184" t="e">
        <f t="shared" si="106"/>
        <v>#DIV/0!</v>
      </c>
      <c r="AV98" s="184">
        <v>0</v>
      </c>
      <c r="AW98" s="167">
        <f>'Factor D Back Up'!D1872</f>
        <v>0</v>
      </c>
      <c r="AX98" s="167">
        <f>'Factor D Back Up'!E1872</f>
        <v>0</v>
      </c>
      <c r="AY98" s="167">
        <f>'Factor D Back Up'!F1872</f>
        <v>0</v>
      </c>
      <c r="AZ98" s="184">
        <f>'Factor D Back Up'!G1872</f>
        <v>7.37</v>
      </c>
      <c r="BA98" s="184">
        <f>'Factor D Back Up'!H1872</f>
        <v>0</v>
      </c>
      <c r="BB98" s="167">
        <f>'Factor D Back Up'!D1873</f>
        <v>24</v>
      </c>
      <c r="BC98" s="167">
        <f>'Factor D Back Up'!E1873</f>
        <v>156</v>
      </c>
      <c r="BD98" s="167">
        <f>'Factor D Back Up'!F1873</f>
        <v>3744</v>
      </c>
      <c r="BE98" s="184">
        <f>'Factor D Back Up'!G1873</f>
        <v>7.5616200000000005</v>
      </c>
      <c r="BF98" s="184">
        <f>'Factor D Back Up'!H1873</f>
        <v>28310.705280000002</v>
      </c>
      <c r="BG98" s="167">
        <f>'Factor D Back Up'!D1874</f>
        <v>25</v>
      </c>
      <c r="BH98" s="167">
        <f>'Factor D Back Up'!E1874</f>
        <v>156</v>
      </c>
      <c r="BI98" s="167">
        <f>'Factor D Back Up'!F1874</f>
        <v>3900</v>
      </c>
      <c r="BJ98" s="184">
        <f>'Factor D Back Up'!G1874</f>
        <v>7.7582221200000001</v>
      </c>
      <c r="BK98" s="184">
        <f>'Factor D Back Up'!H1874</f>
        <v>30257.066267999999</v>
      </c>
      <c r="BL98" s="167">
        <f>'Factor D Back Up'!D1875</f>
        <v>25</v>
      </c>
      <c r="BM98" s="167">
        <f>'Factor D Back Up'!E1875</f>
        <v>156</v>
      </c>
      <c r="BN98" s="167">
        <f>'Factor D Back Up'!F1875</f>
        <v>3900</v>
      </c>
      <c r="BO98" s="184">
        <f>'Factor D Back Up'!G1875</f>
        <v>7.9599358951200001</v>
      </c>
      <c r="BP98" s="184">
        <f>'Factor D Back Up'!H1875</f>
        <v>31043.749990968001</v>
      </c>
      <c r="BQ98" s="167">
        <f>'Factor D Back Up'!D1876</f>
        <v>26</v>
      </c>
      <c r="BR98" s="167">
        <f>'Factor D Back Up'!E1876</f>
        <v>156</v>
      </c>
      <c r="BS98" s="167">
        <f>'Factor D Back Up'!F1876</f>
        <v>4056</v>
      </c>
      <c r="BT98" s="184">
        <f>'Factor D Back Up'!G1876</f>
        <v>8.1668942283931205</v>
      </c>
      <c r="BU98" s="184">
        <f>'Factor D Back Up'!H1876</f>
        <v>33124.922990362495</v>
      </c>
      <c r="BV98" s="167">
        <f>'Factor D Back Up'!D1877</f>
        <v>27</v>
      </c>
      <c r="BW98" s="167">
        <f>'Factor D Back Up'!E1877</f>
        <v>156</v>
      </c>
      <c r="BX98" s="167">
        <f>'Factor D Back Up'!F1877</f>
        <v>4212</v>
      </c>
      <c r="BY98" s="184">
        <f>'Factor D Back Up'!G1877</f>
        <v>8.3792334783313418</v>
      </c>
      <c r="BZ98" s="184">
        <f>'Factor D Back Up'!H1877</f>
        <v>35293.331410731611</v>
      </c>
      <c r="CB98" s="187">
        <f t="shared" si="107"/>
        <v>158029.7759400621</v>
      </c>
      <c r="CC98" s="238"/>
      <c r="CD98" s="281">
        <f t="shared" si="108"/>
        <v>158029.7759400621</v>
      </c>
      <c r="CF98" s="576">
        <f t="shared" si="95"/>
        <v>158029.77594006213</v>
      </c>
    </row>
    <row r="99" spans="1:84" s="17" customFormat="1" ht="15" customHeight="1" x14ac:dyDescent="0.25">
      <c r="A99" s="80" t="s">
        <v>21</v>
      </c>
      <c r="B99" s="166" t="s">
        <v>202</v>
      </c>
      <c r="C99" s="590" t="s">
        <v>41</v>
      </c>
      <c r="D99" s="167">
        <v>0</v>
      </c>
      <c r="E99" s="167" t="e">
        <f t="shared" si="109"/>
        <v>#DIV/0!</v>
      </c>
      <c r="F99" s="167">
        <v>0</v>
      </c>
      <c r="G99" s="184" t="e">
        <f t="shared" si="121"/>
        <v>#DIV/0!</v>
      </c>
      <c r="H99" s="184">
        <v>0</v>
      </c>
      <c r="I99" s="167">
        <v>0</v>
      </c>
      <c r="J99" s="167" t="e">
        <f t="shared" si="111"/>
        <v>#DIV/0!</v>
      </c>
      <c r="K99" s="167">
        <v>0</v>
      </c>
      <c r="L99" s="184" t="e">
        <f t="shared" si="122"/>
        <v>#DIV/0!</v>
      </c>
      <c r="M99" s="184">
        <v>0</v>
      </c>
      <c r="N99" s="167">
        <v>0</v>
      </c>
      <c r="O99" s="167" t="e">
        <f t="shared" si="113"/>
        <v>#DIV/0!</v>
      </c>
      <c r="P99" s="167">
        <v>0</v>
      </c>
      <c r="Q99" s="184" t="e">
        <f t="shared" si="123"/>
        <v>#DIV/0!</v>
      </c>
      <c r="R99" s="184">
        <v>0</v>
      </c>
      <c r="S99" s="167">
        <v>0</v>
      </c>
      <c r="T99" s="167" t="e">
        <f t="shared" si="115"/>
        <v>#DIV/0!</v>
      </c>
      <c r="U99" s="167">
        <v>0</v>
      </c>
      <c r="V99" s="184" t="e">
        <f t="shared" si="67"/>
        <v>#DIV/0!</v>
      </c>
      <c r="W99" s="184">
        <v>0</v>
      </c>
      <c r="X99" s="167">
        <v>0</v>
      </c>
      <c r="Y99" s="167" t="e">
        <f t="shared" si="116"/>
        <v>#DIV/0!</v>
      </c>
      <c r="Z99" s="167">
        <v>0</v>
      </c>
      <c r="AA99" s="184" t="e">
        <f t="shared" si="117"/>
        <v>#DIV/0!</v>
      </c>
      <c r="AB99" s="184">
        <v>0</v>
      </c>
      <c r="AC99" s="167">
        <v>0</v>
      </c>
      <c r="AD99" s="167" t="e">
        <f t="shared" si="118"/>
        <v>#DIV/0!</v>
      </c>
      <c r="AE99" s="167">
        <v>0</v>
      </c>
      <c r="AF99" s="184" t="e">
        <f t="shared" si="119"/>
        <v>#DIV/0!</v>
      </c>
      <c r="AG99" s="184">
        <v>0</v>
      </c>
      <c r="AH99" s="167">
        <v>0</v>
      </c>
      <c r="AI99" s="167" t="e">
        <f t="shared" si="102"/>
        <v>#DIV/0!</v>
      </c>
      <c r="AJ99" s="167">
        <v>0</v>
      </c>
      <c r="AK99" s="184" t="e">
        <f t="shared" si="68"/>
        <v>#DIV/0!</v>
      </c>
      <c r="AL99" s="184">
        <v>0</v>
      </c>
      <c r="AM99" s="167">
        <v>0</v>
      </c>
      <c r="AN99" s="167" t="e">
        <f t="shared" si="103"/>
        <v>#DIV/0!</v>
      </c>
      <c r="AO99" s="167">
        <v>0</v>
      </c>
      <c r="AP99" s="184" t="e">
        <f t="shared" si="104"/>
        <v>#DIV/0!</v>
      </c>
      <c r="AQ99" s="184">
        <v>0</v>
      </c>
      <c r="AR99" s="167">
        <v>0</v>
      </c>
      <c r="AS99" s="167" t="e">
        <f t="shared" si="105"/>
        <v>#DIV/0!</v>
      </c>
      <c r="AT99" s="167">
        <v>0</v>
      </c>
      <c r="AU99" s="184" t="e">
        <f t="shared" si="106"/>
        <v>#DIV/0!</v>
      </c>
      <c r="AV99" s="184">
        <v>0</v>
      </c>
      <c r="AW99" s="167">
        <f>'Factor D Back Up'!D1666</f>
        <v>0</v>
      </c>
      <c r="AX99" s="167">
        <f>'Factor D Back Up'!E1666</f>
        <v>0</v>
      </c>
      <c r="AY99" s="167">
        <f>'Factor D Back Up'!F1666</f>
        <v>0</v>
      </c>
      <c r="AZ99" s="184">
        <f>'Factor D Back Up'!G1666</f>
        <v>25.25</v>
      </c>
      <c r="BA99" s="184">
        <f>'Factor D Back Up'!H1666</f>
        <v>0</v>
      </c>
      <c r="BB99" s="167">
        <f>'Factor D Back Up'!D1667</f>
        <v>4</v>
      </c>
      <c r="BC99" s="167">
        <f>'Factor D Back Up'!E1667</f>
        <v>24</v>
      </c>
      <c r="BD99" s="167">
        <f>'Factor D Back Up'!F1667</f>
        <v>96</v>
      </c>
      <c r="BE99" s="184">
        <f>'Factor D Back Up'!G1667</f>
        <v>31.1</v>
      </c>
      <c r="BF99" s="184">
        <f>'Factor D Back Up'!H1667</f>
        <v>2985.6000000000004</v>
      </c>
      <c r="BG99" s="167">
        <f>'Factor D Back Up'!D1668</f>
        <v>8</v>
      </c>
      <c r="BH99" s="167">
        <f>'Factor D Back Up'!E1668</f>
        <v>24</v>
      </c>
      <c r="BI99" s="167">
        <f>'Factor D Back Up'!F1668</f>
        <v>192</v>
      </c>
      <c r="BJ99" s="184">
        <f>'Factor D Back Up'!G1668</f>
        <v>31.9086</v>
      </c>
      <c r="BK99" s="184">
        <f>'Factor D Back Up'!H1668</f>
        <v>6126.4511999999995</v>
      </c>
      <c r="BL99" s="167">
        <f>'Factor D Back Up'!D1669</f>
        <v>12</v>
      </c>
      <c r="BM99" s="167">
        <f>'Factor D Back Up'!E1669</f>
        <v>24</v>
      </c>
      <c r="BN99" s="167">
        <f>'Factor D Back Up'!F1669</f>
        <v>288</v>
      </c>
      <c r="BO99" s="184">
        <f>'Factor D Back Up'!G1669</f>
        <v>32.738223599999998</v>
      </c>
      <c r="BP99" s="184">
        <f>'Factor D Back Up'!H1669</f>
        <v>9428.6083967999984</v>
      </c>
      <c r="BQ99" s="167">
        <f>'Factor D Back Up'!D1670</f>
        <v>12</v>
      </c>
      <c r="BR99" s="167">
        <f>'Factor D Back Up'!E1670</f>
        <v>24</v>
      </c>
      <c r="BS99" s="167">
        <f>'Factor D Back Up'!F1670</f>
        <v>288</v>
      </c>
      <c r="BT99" s="184">
        <f>'Factor D Back Up'!G1670</f>
        <v>33.589417413599996</v>
      </c>
      <c r="BU99" s="184">
        <f>'Factor D Back Up'!H1670</f>
        <v>9673.7522151167996</v>
      </c>
      <c r="BV99" s="167">
        <f>'Factor D Back Up'!D1671</f>
        <v>24</v>
      </c>
      <c r="BW99" s="167">
        <f>'Factor D Back Up'!E1671</f>
        <v>24</v>
      </c>
      <c r="BX99" s="167">
        <f>'Factor D Back Up'!F1671</f>
        <v>576</v>
      </c>
      <c r="BY99" s="184">
        <f>'Factor D Back Up'!G1671</f>
        <v>34.462742266353594</v>
      </c>
      <c r="BZ99" s="184">
        <f>'Factor D Back Up'!H1671</f>
        <v>19850.53954541967</v>
      </c>
      <c r="CB99" s="187">
        <f t="shared" si="107"/>
        <v>48064.95135733646</v>
      </c>
      <c r="CC99" s="238"/>
      <c r="CD99" s="281">
        <f t="shared" si="108"/>
        <v>48064.95135733646</v>
      </c>
      <c r="CF99" s="576">
        <f t="shared" si="95"/>
        <v>48064.951357336467</v>
      </c>
    </row>
    <row r="100" spans="1:84" s="17" customFormat="1" ht="15" customHeight="1" x14ac:dyDescent="0.25">
      <c r="A100" s="80" t="s">
        <v>24</v>
      </c>
      <c r="B100" s="166" t="s">
        <v>202</v>
      </c>
      <c r="C100" s="590" t="s">
        <v>41</v>
      </c>
      <c r="D100" s="167">
        <v>0</v>
      </c>
      <c r="E100" s="167" t="e">
        <f t="shared" si="109"/>
        <v>#DIV/0!</v>
      </c>
      <c r="F100" s="167">
        <v>0</v>
      </c>
      <c r="G100" s="184" t="e">
        <f t="shared" si="121"/>
        <v>#DIV/0!</v>
      </c>
      <c r="H100" s="184">
        <v>0</v>
      </c>
      <c r="I100" s="167">
        <v>0</v>
      </c>
      <c r="J100" s="167" t="e">
        <f t="shared" si="111"/>
        <v>#DIV/0!</v>
      </c>
      <c r="K100" s="167">
        <v>0</v>
      </c>
      <c r="L100" s="184" t="e">
        <f t="shared" si="122"/>
        <v>#DIV/0!</v>
      </c>
      <c r="M100" s="184">
        <v>0</v>
      </c>
      <c r="N100" s="167">
        <v>0</v>
      </c>
      <c r="O100" s="167" t="e">
        <f t="shared" si="113"/>
        <v>#DIV/0!</v>
      </c>
      <c r="P100" s="167">
        <v>0</v>
      </c>
      <c r="Q100" s="184" t="e">
        <f t="shared" si="123"/>
        <v>#DIV/0!</v>
      </c>
      <c r="R100" s="184">
        <v>0</v>
      </c>
      <c r="S100" s="167">
        <v>0</v>
      </c>
      <c r="T100" s="167" t="e">
        <f t="shared" si="115"/>
        <v>#DIV/0!</v>
      </c>
      <c r="U100" s="167">
        <v>0</v>
      </c>
      <c r="V100" s="184" t="e">
        <f t="shared" si="67"/>
        <v>#DIV/0!</v>
      </c>
      <c r="W100" s="184">
        <v>0</v>
      </c>
      <c r="X100" s="167">
        <v>0</v>
      </c>
      <c r="Y100" s="167" t="e">
        <f t="shared" si="116"/>
        <v>#DIV/0!</v>
      </c>
      <c r="Z100" s="167">
        <v>0</v>
      </c>
      <c r="AA100" s="184" t="e">
        <f t="shared" si="117"/>
        <v>#DIV/0!</v>
      </c>
      <c r="AB100" s="184">
        <v>0</v>
      </c>
      <c r="AC100" s="167">
        <v>0</v>
      </c>
      <c r="AD100" s="167" t="e">
        <f t="shared" si="118"/>
        <v>#DIV/0!</v>
      </c>
      <c r="AE100" s="167">
        <v>0</v>
      </c>
      <c r="AF100" s="184" t="e">
        <f t="shared" si="119"/>
        <v>#DIV/0!</v>
      </c>
      <c r="AG100" s="184">
        <v>0</v>
      </c>
      <c r="AH100" s="167">
        <v>0</v>
      </c>
      <c r="AI100" s="167" t="e">
        <f t="shared" si="102"/>
        <v>#DIV/0!</v>
      </c>
      <c r="AJ100" s="167">
        <v>0</v>
      </c>
      <c r="AK100" s="184" t="e">
        <f t="shared" si="68"/>
        <v>#DIV/0!</v>
      </c>
      <c r="AL100" s="184">
        <v>0</v>
      </c>
      <c r="AM100" s="167">
        <v>0</v>
      </c>
      <c r="AN100" s="167" t="e">
        <f t="shared" si="103"/>
        <v>#DIV/0!</v>
      </c>
      <c r="AO100" s="167">
        <v>0</v>
      </c>
      <c r="AP100" s="184" t="e">
        <f t="shared" si="104"/>
        <v>#DIV/0!</v>
      </c>
      <c r="AQ100" s="184">
        <v>0</v>
      </c>
      <c r="AR100" s="167">
        <v>0</v>
      </c>
      <c r="AS100" s="167" t="e">
        <f t="shared" si="105"/>
        <v>#DIV/0!</v>
      </c>
      <c r="AT100" s="167">
        <v>0</v>
      </c>
      <c r="AU100" s="184" t="e">
        <f t="shared" si="106"/>
        <v>#DIV/0!</v>
      </c>
      <c r="AV100" s="184">
        <v>0</v>
      </c>
      <c r="AW100" s="167">
        <f>'Factor D Back Up'!D1710</f>
        <v>0</v>
      </c>
      <c r="AX100" s="167">
        <f>'Factor D Back Up'!E1710</f>
        <v>0</v>
      </c>
      <c r="AY100" s="167">
        <f>'Factor D Back Up'!F1710</f>
        <v>0</v>
      </c>
      <c r="AZ100" s="184">
        <f>'Factor D Back Up'!G1710</f>
        <v>25.25</v>
      </c>
      <c r="BA100" s="184">
        <f>'Factor D Back Up'!H1710</f>
        <v>0</v>
      </c>
      <c r="BB100" s="175">
        <f>'Factor D Back Up'!D1711</f>
        <v>0</v>
      </c>
      <c r="BC100" s="175">
        <f>'Factor D Back Up'!E1711</f>
        <v>0</v>
      </c>
      <c r="BD100" s="175">
        <f>'Factor D Back Up'!F1711</f>
        <v>0</v>
      </c>
      <c r="BE100" s="185">
        <f>'Factor D Back Up'!G1711</f>
        <v>25.906500000000001</v>
      </c>
      <c r="BF100" s="185">
        <f>'Factor D Back Up'!H1711</f>
        <v>0</v>
      </c>
      <c r="BG100" s="175">
        <f>'Factor D Back Up'!D1712</f>
        <v>0</v>
      </c>
      <c r="BH100" s="175">
        <f>'Factor D Back Up'!E1712</f>
        <v>0</v>
      </c>
      <c r="BI100" s="175">
        <f>'Factor D Back Up'!F1712</f>
        <v>0</v>
      </c>
      <c r="BJ100" s="185">
        <f>'Factor D Back Up'!G1712</f>
        <v>26.580069000000002</v>
      </c>
      <c r="BK100" s="185">
        <f>'Factor D Back Up'!H1712</f>
        <v>0</v>
      </c>
      <c r="BL100" s="175">
        <f>'Factor D Back Up'!D1713</f>
        <v>0</v>
      </c>
      <c r="BM100" s="175">
        <f>'Factor D Back Up'!E1713</f>
        <v>0</v>
      </c>
      <c r="BN100" s="175">
        <f>'Factor D Back Up'!F1713</f>
        <v>0</v>
      </c>
      <c r="BO100" s="185">
        <f>'Factor D Back Up'!G1713</f>
        <v>27.271150794</v>
      </c>
      <c r="BP100" s="185">
        <f>'Factor D Back Up'!H1713</f>
        <v>0</v>
      </c>
      <c r="BQ100" s="175">
        <f>'Factor D Back Up'!D1714</f>
        <v>0</v>
      </c>
      <c r="BR100" s="175">
        <f>'Factor D Back Up'!E1714</f>
        <v>0</v>
      </c>
      <c r="BS100" s="175">
        <f>'Factor D Back Up'!F1714</f>
        <v>0</v>
      </c>
      <c r="BT100" s="185">
        <f>'Factor D Back Up'!G1714</f>
        <v>27.980200714643999</v>
      </c>
      <c r="BU100" s="185">
        <f>'Factor D Back Up'!H1714</f>
        <v>0</v>
      </c>
      <c r="BV100" s="175">
        <f>'Factor D Back Up'!D1715</f>
        <v>0</v>
      </c>
      <c r="BW100" s="175">
        <f>'Factor D Back Up'!E1715</f>
        <v>0</v>
      </c>
      <c r="BX100" s="175">
        <f>'Factor D Back Up'!F1715</f>
        <v>0</v>
      </c>
      <c r="BY100" s="185">
        <f>'Factor D Back Up'!G1715</f>
        <v>28.707685933224742</v>
      </c>
      <c r="BZ100" s="185">
        <f>'Factor D Back Up'!H1715</f>
        <v>0</v>
      </c>
      <c r="CB100" s="187">
        <f t="shared" si="107"/>
        <v>0</v>
      </c>
      <c r="CC100" s="238"/>
      <c r="CD100" s="281">
        <f t="shared" si="108"/>
        <v>0</v>
      </c>
      <c r="CF100" s="573">
        <f t="shared" si="95"/>
        <v>0</v>
      </c>
    </row>
    <row r="101" spans="1:84" s="17" customFormat="1" ht="15" customHeight="1" x14ac:dyDescent="0.25">
      <c r="A101" s="80" t="s">
        <v>25</v>
      </c>
      <c r="B101" s="166" t="s">
        <v>202</v>
      </c>
      <c r="C101" s="590" t="s">
        <v>152</v>
      </c>
      <c r="D101" s="167">
        <v>0</v>
      </c>
      <c r="E101" s="167" t="e">
        <f t="shared" si="109"/>
        <v>#DIV/0!</v>
      </c>
      <c r="F101" s="167">
        <v>0</v>
      </c>
      <c r="G101" s="184" t="e">
        <f t="shared" si="121"/>
        <v>#DIV/0!</v>
      </c>
      <c r="H101" s="184">
        <v>0</v>
      </c>
      <c r="I101" s="167">
        <v>0</v>
      </c>
      <c r="J101" s="167" t="e">
        <f t="shared" si="111"/>
        <v>#DIV/0!</v>
      </c>
      <c r="K101" s="167">
        <v>0</v>
      </c>
      <c r="L101" s="184" t="e">
        <f t="shared" si="122"/>
        <v>#DIV/0!</v>
      </c>
      <c r="M101" s="184">
        <v>0</v>
      </c>
      <c r="N101" s="167">
        <v>0</v>
      </c>
      <c r="O101" s="167" t="e">
        <f t="shared" si="113"/>
        <v>#DIV/0!</v>
      </c>
      <c r="P101" s="167">
        <v>0</v>
      </c>
      <c r="Q101" s="184" t="e">
        <f t="shared" si="123"/>
        <v>#DIV/0!</v>
      </c>
      <c r="R101" s="184">
        <v>0</v>
      </c>
      <c r="S101" s="167">
        <v>0</v>
      </c>
      <c r="T101" s="167" t="e">
        <f t="shared" si="115"/>
        <v>#DIV/0!</v>
      </c>
      <c r="U101" s="167">
        <v>0</v>
      </c>
      <c r="V101" s="184" t="e">
        <f t="shared" si="67"/>
        <v>#DIV/0!</v>
      </c>
      <c r="W101" s="184">
        <v>0</v>
      </c>
      <c r="X101" s="167">
        <v>0</v>
      </c>
      <c r="Y101" s="167" t="e">
        <f t="shared" si="116"/>
        <v>#DIV/0!</v>
      </c>
      <c r="Z101" s="167">
        <v>0</v>
      </c>
      <c r="AA101" s="184" t="e">
        <f t="shared" si="117"/>
        <v>#DIV/0!</v>
      </c>
      <c r="AB101" s="184">
        <v>0</v>
      </c>
      <c r="AC101" s="167">
        <v>0</v>
      </c>
      <c r="AD101" s="167" t="e">
        <f t="shared" si="118"/>
        <v>#DIV/0!</v>
      </c>
      <c r="AE101" s="167">
        <v>0</v>
      </c>
      <c r="AF101" s="184" t="e">
        <f t="shared" si="119"/>
        <v>#DIV/0!</v>
      </c>
      <c r="AG101" s="184">
        <v>0</v>
      </c>
      <c r="AH101" s="167">
        <v>0</v>
      </c>
      <c r="AI101" s="167" t="e">
        <f t="shared" si="102"/>
        <v>#DIV/0!</v>
      </c>
      <c r="AJ101" s="167">
        <v>0</v>
      </c>
      <c r="AK101" s="184" t="e">
        <f t="shared" si="68"/>
        <v>#DIV/0!</v>
      </c>
      <c r="AL101" s="184">
        <v>0</v>
      </c>
      <c r="AM101" s="167">
        <v>0</v>
      </c>
      <c r="AN101" s="167" t="e">
        <f t="shared" si="103"/>
        <v>#DIV/0!</v>
      </c>
      <c r="AO101" s="167">
        <v>0</v>
      </c>
      <c r="AP101" s="184" t="e">
        <f t="shared" si="104"/>
        <v>#DIV/0!</v>
      </c>
      <c r="AQ101" s="184">
        <v>0</v>
      </c>
      <c r="AR101" s="167">
        <v>0</v>
      </c>
      <c r="AS101" s="167" t="e">
        <f t="shared" si="105"/>
        <v>#DIV/0!</v>
      </c>
      <c r="AT101" s="167">
        <v>0</v>
      </c>
      <c r="AU101" s="184" t="e">
        <f t="shared" si="106"/>
        <v>#DIV/0!</v>
      </c>
      <c r="AV101" s="184">
        <v>0</v>
      </c>
      <c r="AW101" s="167">
        <f>'Factor D Back Up'!D1728</f>
        <v>0</v>
      </c>
      <c r="AX101" s="167">
        <f>'Factor D Back Up'!E1728</f>
        <v>0</v>
      </c>
      <c r="AY101" s="167">
        <f>'Factor D Back Up'!F1728</f>
        <v>0</v>
      </c>
      <c r="AZ101" s="184">
        <f>'Factor D Back Up'!G1728</f>
        <v>11.37</v>
      </c>
      <c r="BA101" s="184">
        <f>'Factor D Back Up'!H1728</f>
        <v>0</v>
      </c>
      <c r="BB101" s="167">
        <f>'Factor D Back Up'!D1729</f>
        <v>50</v>
      </c>
      <c r="BC101" s="167">
        <f>'Factor D Back Up'!E1729</f>
        <v>154.40240064490223</v>
      </c>
      <c r="BD101" s="167">
        <f>'Factor D Back Up'!F1729</f>
        <v>7720.1200322451114</v>
      </c>
      <c r="BE101" s="184">
        <f>'Factor D Back Up'!G1729</f>
        <v>11.665619999999999</v>
      </c>
      <c r="BF101" s="184">
        <f>'Factor D Back Up'!H1729</f>
        <v>90059.986650559207</v>
      </c>
      <c r="BG101" s="167">
        <f>'Factor D Back Up'!D1730</f>
        <v>100</v>
      </c>
      <c r="BH101" s="167">
        <f>'Factor D Back Up'!E1730</f>
        <v>163.24350819933647</v>
      </c>
      <c r="BI101" s="167">
        <f>'Factor D Back Up'!F1730</f>
        <v>16324.350819933647</v>
      </c>
      <c r="BJ101" s="184">
        <f>'Factor D Back Up'!G1730</f>
        <v>11.968926119999999</v>
      </c>
      <c r="BK101" s="184">
        <f>'Factor D Back Up'!H1730</f>
        <v>195384.94892074724</v>
      </c>
      <c r="BL101" s="167">
        <f>'Factor D Back Up'!D1731</f>
        <v>150</v>
      </c>
      <c r="BM101" s="167">
        <f>'Factor D Back Up'!E1731</f>
        <v>172.08461575377075</v>
      </c>
      <c r="BN101" s="167">
        <f>'Factor D Back Up'!F1731</f>
        <v>25812.692363065613</v>
      </c>
      <c r="BO101" s="184">
        <f>'Factor D Back Up'!G1731</f>
        <v>12.280118199119999</v>
      </c>
      <c r="BP101" s="184">
        <f>'Factor D Back Up'!H1731</f>
        <v>316982.91325596784</v>
      </c>
      <c r="BQ101" s="167">
        <f>'Factor D Back Up'!D1732</f>
        <v>200</v>
      </c>
      <c r="BR101" s="167">
        <f>'Factor D Back Up'!E1732</f>
        <v>180.92572330820499</v>
      </c>
      <c r="BS101" s="167">
        <f>'Factor D Back Up'!F1732</f>
        <v>36185.144661640996</v>
      </c>
      <c r="BT101" s="184">
        <f>'Factor D Back Up'!G1732</f>
        <v>12.599401272297118</v>
      </c>
      <c r="BU101" s="184">
        <f>'Factor D Back Up'!H1732</f>
        <v>455911.15768813487</v>
      </c>
      <c r="BV101" s="167">
        <f>'Factor D Back Up'!D1733</f>
        <v>250</v>
      </c>
      <c r="BW101" s="167">
        <f>'Factor D Back Up'!E1733</f>
        <v>189.76683086263927</v>
      </c>
      <c r="BX101" s="167">
        <f>'Factor D Back Up'!F1733</f>
        <v>47441.707715659817</v>
      </c>
      <c r="BY101" s="184">
        <f>'Factor D Back Up'!G1733</f>
        <v>12.926985705376843</v>
      </c>
      <c r="BZ101" s="184">
        <f>'Factor D Back Up'!H1733</f>
        <v>613278.27747900074</v>
      </c>
      <c r="CB101" s="187">
        <f t="shared" si="107"/>
        <v>1671617.28399441</v>
      </c>
      <c r="CC101" s="238"/>
      <c r="CD101" s="281">
        <f t="shared" si="108"/>
        <v>1671617.28399441</v>
      </c>
      <c r="CF101" s="576">
        <f t="shared" si="95"/>
        <v>1671617.2839944097</v>
      </c>
    </row>
    <row r="102" spans="1:84" s="17" customFormat="1" ht="15" customHeight="1" x14ac:dyDescent="0.25">
      <c r="A102" s="80" t="s">
        <v>1</v>
      </c>
      <c r="B102" s="165"/>
      <c r="C102" s="590" t="s">
        <v>152</v>
      </c>
      <c r="D102" s="167">
        <v>0</v>
      </c>
      <c r="E102" s="167" t="e">
        <f t="shared" si="109"/>
        <v>#DIV/0!</v>
      </c>
      <c r="F102" s="167">
        <v>0</v>
      </c>
      <c r="G102" s="184" t="e">
        <f t="shared" si="121"/>
        <v>#DIV/0!</v>
      </c>
      <c r="H102" s="184">
        <v>0</v>
      </c>
      <c r="I102" s="167">
        <v>0</v>
      </c>
      <c r="J102" s="167" t="e">
        <f t="shared" si="111"/>
        <v>#DIV/0!</v>
      </c>
      <c r="K102" s="167">
        <v>0</v>
      </c>
      <c r="L102" s="184" t="e">
        <f t="shared" si="122"/>
        <v>#DIV/0!</v>
      </c>
      <c r="M102" s="184">
        <v>0</v>
      </c>
      <c r="N102" s="167">
        <v>0</v>
      </c>
      <c r="O102" s="167" t="e">
        <f t="shared" si="113"/>
        <v>#DIV/0!</v>
      </c>
      <c r="P102" s="167">
        <v>0</v>
      </c>
      <c r="Q102" s="184" t="e">
        <f t="shared" si="123"/>
        <v>#DIV/0!</v>
      </c>
      <c r="R102" s="184">
        <v>0</v>
      </c>
      <c r="S102" s="167">
        <v>0</v>
      </c>
      <c r="T102" s="167" t="e">
        <f t="shared" si="115"/>
        <v>#DIV/0!</v>
      </c>
      <c r="U102" s="167">
        <v>0</v>
      </c>
      <c r="V102" s="184" t="e">
        <f t="shared" si="67"/>
        <v>#DIV/0!</v>
      </c>
      <c r="W102" s="184">
        <v>0</v>
      </c>
      <c r="X102" s="167">
        <v>0</v>
      </c>
      <c r="Y102" s="167" t="e">
        <f t="shared" si="116"/>
        <v>#DIV/0!</v>
      </c>
      <c r="Z102" s="167">
        <v>0</v>
      </c>
      <c r="AA102" s="184" t="e">
        <f t="shared" si="117"/>
        <v>#DIV/0!</v>
      </c>
      <c r="AB102" s="184">
        <v>0</v>
      </c>
      <c r="AC102" s="167">
        <v>0</v>
      </c>
      <c r="AD102" s="167" t="e">
        <f t="shared" si="118"/>
        <v>#DIV/0!</v>
      </c>
      <c r="AE102" s="167">
        <v>0</v>
      </c>
      <c r="AF102" s="184" t="e">
        <f t="shared" si="119"/>
        <v>#DIV/0!</v>
      </c>
      <c r="AG102" s="184">
        <v>0</v>
      </c>
      <c r="AH102" s="167">
        <v>0</v>
      </c>
      <c r="AI102" s="167" t="e">
        <f t="shared" si="102"/>
        <v>#DIV/0!</v>
      </c>
      <c r="AJ102" s="167">
        <v>0</v>
      </c>
      <c r="AK102" s="184" t="e">
        <f t="shared" si="68"/>
        <v>#DIV/0!</v>
      </c>
      <c r="AL102" s="184">
        <v>0</v>
      </c>
      <c r="AM102" s="167">
        <v>0</v>
      </c>
      <c r="AN102" s="167" t="e">
        <f t="shared" si="103"/>
        <v>#DIV/0!</v>
      </c>
      <c r="AO102" s="167">
        <v>0</v>
      </c>
      <c r="AP102" s="184" t="e">
        <f t="shared" si="104"/>
        <v>#DIV/0!</v>
      </c>
      <c r="AQ102" s="184">
        <v>0</v>
      </c>
      <c r="AR102" s="167">
        <v>0</v>
      </c>
      <c r="AS102" s="167" t="e">
        <f t="shared" si="105"/>
        <v>#DIV/0!</v>
      </c>
      <c r="AT102" s="167">
        <v>0</v>
      </c>
      <c r="AU102" s="184" t="e">
        <f t="shared" si="106"/>
        <v>#DIV/0!</v>
      </c>
      <c r="AV102" s="184">
        <v>0</v>
      </c>
      <c r="AW102" s="167">
        <f>'Factor D Back Up'!D1764</f>
        <v>0</v>
      </c>
      <c r="AX102" s="167">
        <f>'Factor D Back Up'!E1764</f>
        <v>0</v>
      </c>
      <c r="AY102" s="167">
        <f>'Factor D Back Up'!F1764</f>
        <v>0</v>
      </c>
      <c r="AZ102" s="184">
        <f>'Factor D Back Up'!G1764</f>
        <v>4.7699999999999996</v>
      </c>
      <c r="BA102" s="184">
        <f>'Factor D Back Up'!H1764</f>
        <v>0</v>
      </c>
      <c r="BB102" s="167">
        <f>'Factor D Back Up'!D1765</f>
        <v>350</v>
      </c>
      <c r="BC102" s="167">
        <f>'Factor D Back Up'!E1765</f>
        <v>12.285714285714286</v>
      </c>
      <c r="BD102" s="167">
        <f>'Factor D Back Up'!F1765</f>
        <v>4300</v>
      </c>
      <c r="BE102" s="184">
        <f>'Factor D Back Up'!G1765</f>
        <v>5.18</v>
      </c>
      <c r="BF102" s="184">
        <f>'Factor D Back Up'!H1765</f>
        <v>22274</v>
      </c>
      <c r="BG102" s="194">
        <f>'Factor D Back Up'!D1766</f>
        <v>450</v>
      </c>
      <c r="BH102" s="194">
        <f>'Factor D Back Up'!E1766</f>
        <v>10.888888888888889</v>
      </c>
      <c r="BI102" s="194">
        <f>'Factor D Back Up'!F1766</f>
        <v>4900</v>
      </c>
      <c r="BJ102" s="184">
        <f>'Factor D Back Up'!G1766</f>
        <v>5.3146800000000001</v>
      </c>
      <c r="BK102" s="184">
        <f>'Factor D Back Up'!H1766</f>
        <v>26041.932000000001</v>
      </c>
      <c r="BL102" s="194">
        <f>'Factor D Back Up'!D1767</f>
        <v>470</v>
      </c>
      <c r="BM102" s="194">
        <f>'Factor D Back Up'!E1767</f>
        <v>11.702127659574469</v>
      </c>
      <c r="BN102" s="194">
        <f>'Factor D Back Up'!F1767</f>
        <v>5500</v>
      </c>
      <c r="BO102" s="184">
        <f>'Factor D Back Up'!G1767</f>
        <v>5.4528616799999998</v>
      </c>
      <c r="BP102" s="184">
        <f>'Factor D Back Up'!H1767</f>
        <v>29990.739239999999</v>
      </c>
      <c r="BQ102" s="194">
        <f>'Factor D Back Up'!D1768</f>
        <v>470</v>
      </c>
      <c r="BR102" s="194">
        <f>'Factor D Back Up'!E1768</f>
        <v>11.702127659574469</v>
      </c>
      <c r="BS102" s="194">
        <f>'Factor D Back Up'!F1768</f>
        <v>5500</v>
      </c>
      <c r="BT102" s="184">
        <f>'Factor D Back Up'!G1768</f>
        <v>5.5946360836800002</v>
      </c>
      <c r="BU102" s="184">
        <f>'Factor D Back Up'!H1768</f>
        <v>30770.49846024</v>
      </c>
      <c r="BV102" s="194">
        <f>'Factor D Back Up'!D1769</f>
        <v>470</v>
      </c>
      <c r="BW102" s="194">
        <f>'Factor D Back Up'!E1769</f>
        <v>11.702127659574469</v>
      </c>
      <c r="BX102" s="194">
        <f>'Factor D Back Up'!F1769</f>
        <v>5500</v>
      </c>
      <c r="BY102" s="184">
        <f>'Factor D Back Up'!G1769</f>
        <v>5.7400966218556801</v>
      </c>
      <c r="BZ102" s="184">
        <f>'Factor D Back Up'!H1769</f>
        <v>31570.53142020624</v>
      </c>
      <c r="CB102" s="187">
        <f t="shared" si="107"/>
        <v>140647.70112044623</v>
      </c>
      <c r="CC102" s="238"/>
      <c r="CD102" s="281">
        <f t="shared" si="108"/>
        <v>140647.70112044623</v>
      </c>
      <c r="CF102" s="576">
        <f t="shared" si="95"/>
        <v>140647.70112044623</v>
      </c>
    </row>
    <row r="103" spans="1:84" s="17" customFormat="1" ht="15" customHeight="1" x14ac:dyDescent="0.25">
      <c r="A103" s="162" t="s">
        <v>2</v>
      </c>
      <c r="B103" s="165"/>
      <c r="C103" s="592" t="s">
        <v>152</v>
      </c>
      <c r="D103" s="167">
        <v>0</v>
      </c>
      <c r="E103" s="167" t="e">
        <f t="shared" si="109"/>
        <v>#DIV/0!</v>
      </c>
      <c r="F103" s="167">
        <v>0</v>
      </c>
      <c r="G103" s="184" t="e">
        <f t="shared" si="121"/>
        <v>#DIV/0!</v>
      </c>
      <c r="H103" s="184">
        <v>0</v>
      </c>
      <c r="I103" s="167">
        <v>0</v>
      </c>
      <c r="J103" s="167" t="e">
        <f t="shared" si="111"/>
        <v>#DIV/0!</v>
      </c>
      <c r="K103" s="167">
        <v>0</v>
      </c>
      <c r="L103" s="184" t="e">
        <f t="shared" si="122"/>
        <v>#DIV/0!</v>
      </c>
      <c r="M103" s="184">
        <v>0</v>
      </c>
      <c r="N103" s="167">
        <v>0</v>
      </c>
      <c r="O103" s="167" t="e">
        <f t="shared" si="113"/>
        <v>#DIV/0!</v>
      </c>
      <c r="P103" s="167">
        <v>0</v>
      </c>
      <c r="Q103" s="184" t="e">
        <f t="shared" si="123"/>
        <v>#DIV/0!</v>
      </c>
      <c r="R103" s="184">
        <v>0</v>
      </c>
      <c r="S103" s="167">
        <v>0</v>
      </c>
      <c r="T103" s="167" t="e">
        <f t="shared" si="115"/>
        <v>#DIV/0!</v>
      </c>
      <c r="U103" s="167">
        <v>0</v>
      </c>
      <c r="V103" s="184" t="e">
        <f t="shared" si="67"/>
        <v>#DIV/0!</v>
      </c>
      <c r="W103" s="184">
        <v>0</v>
      </c>
      <c r="X103" s="167">
        <v>0</v>
      </c>
      <c r="Y103" s="167" t="e">
        <f t="shared" si="116"/>
        <v>#DIV/0!</v>
      </c>
      <c r="Z103" s="167">
        <v>0</v>
      </c>
      <c r="AA103" s="184" t="e">
        <f t="shared" si="117"/>
        <v>#DIV/0!</v>
      </c>
      <c r="AB103" s="184">
        <v>0</v>
      </c>
      <c r="AC103" s="167">
        <v>0</v>
      </c>
      <c r="AD103" s="167" t="e">
        <f t="shared" si="118"/>
        <v>#DIV/0!</v>
      </c>
      <c r="AE103" s="167">
        <v>0</v>
      </c>
      <c r="AF103" s="184" t="e">
        <f t="shared" si="119"/>
        <v>#DIV/0!</v>
      </c>
      <c r="AG103" s="184">
        <v>0</v>
      </c>
      <c r="AH103" s="167">
        <v>0</v>
      </c>
      <c r="AI103" s="167" t="e">
        <f t="shared" si="102"/>
        <v>#DIV/0!</v>
      </c>
      <c r="AJ103" s="167">
        <v>0</v>
      </c>
      <c r="AK103" s="184" t="e">
        <f t="shared" si="68"/>
        <v>#DIV/0!</v>
      </c>
      <c r="AL103" s="184">
        <v>0</v>
      </c>
      <c r="AM103" s="167">
        <v>0</v>
      </c>
      <c r="AN103" s="167" t="e">
        <f t="shared" si="103"/>
        <v>#DIV/0!</v>
      </c>
      <c r="AO103" s="167">
        <v>0</v>
      </c>
      <c r="AP103" s="184" t="e">
        <f t="shared" si="104"/>
        <v>#DIV/0!</v>
      </c>
      <c r="AQ103" s="184">
        <v>0</v>
      </c>
      <c r="AR103" s="167">
        <v>0</v>
      </c>
      <c r="AS103" s="167" t="e">
        <f t="shared" si="105"/>
        <v>#DIV/0!</v>
      </c>
      <c r="AT103" s="167">
        <v>0</v>
      </c>
      <c r="AU103" s="184" t="e">
        <f t="shared" si="106"/>
        <v>#DIV/0!</v>
      </c>
      <c r="AV103" s="184">
        <v>0</v>
      </c>
      <c r="AW103" s="167">
        <f>'Factor D Back Up'!D1782</f>
        <v>0</v>
      </c>
      <c r="AX103" s="167">
        <f>'Factor D Back Up'!E1782</f>
        <v>0</v>
      </c>
      <c r="AY103" s="167">
        <f>'Factor D Back Up'!F1782</f>
        <v>0</v>
      </c>
      <c r="AZ103" s="184">
        <f>'Factor D Back Up'!G1782</f>
        <v>2.94</v>
      </c>
      <c r="BA103" s="184">
        <f>'Factor D Back Up'!H1782</f>
        <v>0</v>
      </c>
      <c r="BB103" s="167">
        <f>'Factor D Back Up'!D1783</f>
        <v>175</v>
      </c>
      <c r="BC103" s="167">
        <f>'Factor D Back Up'!E1783</f>
        <v>15.714285714285714</v>
      </c>
      <c r="BD103" s="167">
        <f>'Factor D Back Up'!F1783</f>
        <v>2750</v>
      </c>
      <c r="BE103" s="184">
        <f>'Factor D Back Up'!G1783</f>
        <v>2.5</v>
      </c>
      <c r="BF103" s="184">
        <f>'Factor D Back Up'!H1783</f>
        <v>6875</v>
      </c>
      <c r="BG103" s="167">
        <f>'Factor D Back Up'!D1784</f>
        <v>175</v>
      </c>
      <c r="BH103" s="167">
        <f>'Factor D Back Up'!E1784</f>
        <v>15.714285714285714</v>
      </c>
      <c r="BI103" s="167">
        <f>'Factor D Back Up'!F1784</f>
        <v>2750</v>
      </c>
      <c r="BJ103" s="184">
        <f>'Factor D Back Up'!G1784</f>
        <v>2.5649999999999999</v>
      </c>
      <c r="BK103" s="184">
        <f>'Factor D Back Up'!H1784</f>
        <v>7053.75</v>
      </c>
      <c r="BL103" s="167">
        <f>'Factor D Back Up'!D1785</f>
        <v>235</v>
      </c>
      <c r="BM103" s="167">
        <f>'Factor D Back Up'!E1785</f>
        <v>11.702127659574469</v>
      </c>
      <c r="BN103" s="167">
        <f>'Factor D Back Up'!F1785</f>
        <v>2750</v>
      </c>
      <c r="BO103" s="184">
        <f>'Factor D Back Up'!G1785</f>
        <v>2.6316899999999999</v>
      </c>
      <c r="BP103" s="184">
        <f>'Factor D Back Up'!H1785</f>
        <v>7237.1475</v>
      </c>
      <c r="BQ103" s="167">
        <f>'Factor D Back Up'!D1786</f>
        <v>235</v>
      </c>
      <c r="BR103" s="167">
        <f>'Factor D Back Up'!E1786</f>
        <v>11.702127659574469</v>
      </c>
      <c r="BS103" s="167">
        <f>'Factor D Back Up'!F1786</f>
        <v>2750</v>
      </c>
      <c r="BT103" s="184">
        <f>'Factor D Back Up'!G1786</f>
        <v>2.70011394</v>
      </c>
      <c r="BU103" s="184">
        <f>'Factor D Back Up'!H1786</f>
        <v>7425.3133349999998</v>
      </c>
      <c r="BV103" s="167">
        <f>'Factor D Back Up'!D1787</f>
        <v>235</v>
      </c>
      <c r="BW103" s="167">
        <f>'Factor D Back Up'!E1787</f>
        <v>11.702127659574469</v>
      </c>
      <c r="BX103" s="167">
        <f>'Factor D Back Up'!F1787</f>
        <v>2750</v>
      </c>
      <c r="BY103" s="184">
        <f>'Factor D Back Up'!G1787</f>
        <v>2.7703169024399998</v>
      </c>
      <c r="BZ103" s="184">
        <f>'Factor D Back Up'!H1787</f>
        <v>7618.3714817099999</v>
      </c>
      <c r="CB103" s="187">
        <f t="shared" si="107"/>
        <v>36209.582316710002</v>
      </c>
      <c r="CC103" s="238"/>
      <c r="CD103" s="281">
        <f t="shared" si="108"/>
        <v>36209.582316710002</v>
      </c>
      <c r="CF103" s="576">
        <f t="shared" si="95"/>
        <v>36209.582316709995</v>
      </c>
    </row>
    <row r="104" spans="1:84" s="17" customFormat="1" ht="15" customHeight="1" x14ac:dyDescent="0.25">
      <c r="A104" s="212" t="s">
        <v>265</v>
      </c>
      <c r="B104" s="165"/>
      <c r="C104" s="592" t="s">
        <v>562</v>
      </c>
      <c r="D104" s="167">
        <v>0</v>
      </c>
      <c r="E104" s="167" t="e">
        <f t="shared" si="109"/>
        <v>#DIV/0!</v>
      </c>
      <c r="F104" s="167">
        <v>0</v>
      </c>
      <c r="G104" s="184" t="e">
        <f t="shared" si="121"/>
        <v>#DIV/0!</v>
      </c>
      <c r="H104" s="184">
        <v>0</v>
      </c>
      <c r="I104" s="167">
        <v>0</v>
      </c>
      <c r="J104" s="167" t="e">
        <f t="shared" si="111"/>
        <v>#DIV/0!</v>
      </c>
      <c r="K104" s="167">
        <v>0</v>
      </c>
      <c r="L104" s="184" t="e">
        <f t="shared" si="122"/>
        <v>#DIV/0!</v>
      </c>
      <c r="M104" s="184">
        <v>0</v>
      </c>
      <c r="N104" s="167">
        <v>0</v>
      </c>
      <c r="O104" s="167" t="e">
        <f t="shared" si="113"/>
        <v>#DIV/0!</v>
      </c>
      <c r="P104" s="167">
        <v>0</v>
      </c>
      <c r="Q104" s="184" t="e">
        <f t="shared" si="123"/>
        <v>#DIV/0!</v>
      </c>
      <c r="R104" s="184">
        <v>0</v>
      </c>
      <c r="S104" s="167">
        <v>0</v>
      </c>
      <c r="T104" s="167" t="e">
        <f t="shared" ref="T104:T107" si="124">U104/S104</f>
        <v>#DIV/0!</v>
      </c>
      <c r="U104" s="167">
        <v>0</v>
      </c>
      <c r="V104" s="184" t="e">
        <f t="shared" ref="V104:V107" si="125">W104/U104</f>
        <v>#DIV/0!</v>
      </c>
      <c r="W104" s="184">
        <v>0</v>
      </c>
      <c r="X104" s="167">
        <v>0</v>
      </c>
      <c r="Y104" s="167" t="e">
        <f t="shared" si="116"/>
        <v>#DIV/0!</v>
      </c>
      <c r="Z104" s="167">
        <v>0</v>
      </c>
      <c r="AA104" s="184" t="e">
        <f t="shared" si="117"/>
        <v>#DIV/0!</v>
      </c>
      <c r="AB104" s="184">
        <v>0</v>
      </c>
      <c r="AC104" s="167">
        <v>0</v>
      </c>
      <c r="AD104" s="167" t="e">
        <f t="shared" si="118"/>
        <v>#DIV/0!</v>
      </c>
      <c r="AE104" s="167">
        <v>0</v>
      </c>
      <c r="AF104" s="184" t="e">
        <f t="shared" si="119"/>
        <v>#DIV/0!</v>
      </c>
      <c r="AG104" s="184">
        <v>0</v>
      </c>
      <c r="AH104" s="167">
        <v>0</v>
      </c>
      <c r="AI104" s="167" t="e">
        <f t="shared" si="102"/>
        <v>#DIV/0!</v>
      </c>
      <c r="AJ104" s="167">
        <v>0</v>
      </c>
      <c r="AK104" s="184" t="e">
        <f t="shared" si="68"/>
        <v>#DIV/0!</v>
      </c>
      <c r="AL104" s="184">
        <v>0</v>
      </c>
      <c r="AM104" s="167">
        <v>0</v>
      </c>
      <c r="AN104" s="167" t="e">
        <f t="shared" si="103"/>
        <v>#DIV/0!</v>
      </c>
      <c r="AO104" s="167">
        <v>0</v>
      </c>
      <c r="AP104" s="184" t="e">
        <f t="shared" si="104"/>
        <v>#DIV/0!</v>
      </c>
      <c r="AQ104" s="184">
        <v>0</v>
      </c>
      <c r="AR104" s="167">
        <v>0</v>
      </c>
      <c r="AS104" s="167" t="e">
        <f t="shared" si="105"/>
        <v>#DIV/0!</v>
      </c>
      <c r="AT104" s="167">
        <v>0</v>
      </c>
      <c r="AU104" s="184" t="e">
        <f t="shared" si="106"/>
        <v>#DIV/0!</v>
      </c>
      <c r="AV104" s="184">
        <v>0</v>
      </c>
      <c r="AW104" s="167">
        <v>0</v>
      </c>
      <c r="AX104" s="167" t="e">
        <f t="shared" ref="AX104:AX114" si="126">AY104/AW104</f>
        <v>#DIV/0!</v>
      </c>
      <c r="AY104" s="167">
        <v>0</v>
      </c>
      <c r="AZ104" s="184" t="e">
        <f t="shared" ref="AZ104:AZ114" si="127">BA104/AY104</f>
        <v>#DIV/0!</v>
      </c>
      <c r="BA104" s="184">
        <v>0</v>
      </c>
      <c r="BB104" s="167">
        <f>'Factor D Back Up'!D1891</f>
        <v>100</v>
      </c>
      <c r="BC104" s="167">
        <f>'Factor D Back Up'!E1891</f>
        <v>1</v>
      </c>
      <c r="BD104" s="167">
        <f>'Factor D Back Up'!F1891</f>
        <v>100</v>
      </c>
      <c r="BE104" s="184">
        <f>'Factor D Back Up'!G1891</f>
        <v>2000</v>
      </c>
      <c r="BF104" s="184">
        <f>'Factor D Back Up'!H1891</f>
        <v>200000</v>
      </c>
      <c r="BG104" s="167">
        <f>'Factor D Back Up'!D1892</f>
        <v>170</v>
      </c>
      <c r="BH104" s="167">
        <f>'Factor D Back Up'!E1892</f>
        <v>1</v>
      </c>
      <c r="BI104" s="167">
        <f>'Factor D Back Up'!F1892</f>
        <v>170</v>
      </c>
      <c r="BJ104" s="184">
        <f>'Factor D Back Up'!G1892</f>
        <v>2000</v>
      </c>
      <c r="BK104" s="184">
        <f>'Factor D Back Up'!H1892</f>
        <v>340000</v>
      </c>
      <c r="BL104" s="167">
        <f>'Factor D Back Up'!D1893</f>
        <v>250</v>
      </c>
      <c r="BM104" s="167">
        <f>'Factor D Back Up'!E1893</f>
        <v>1</v>
      </c>
      <c r="BN104" s="167">
        <f>'Factor D Back Up'!F1893</f>
        <v>250</v>
      </c>
      <c r="BO104" s="184">
        <f>'Factor D Back Up'!G1893</f>
        <v>2000</v>
      </c>
      <c r="BP104" s="184">
        <f>'Factor D Back Up'!H1893</f>
        <v>500000</v>
      </c>
      <c r="BQ104" s="167">
        <f>'Factor D Back Up'!D1894</f>
        <v>300</v>
      </c>
      <c r="BR104" s="167">
        <f>'Factor D Back Up'!E1894</f>
        <v>1</v>
      </c>
      <c r="BS104" s="167">
        <f>'Factor D Back Up'!F1894</f>
        <v>300</v>
      </c>
      <c r="BT104" s="184">
        <f>'Factor D Back Up'!G1894</f>
        <v>2000</v>
      </c>
      <c r="BU104" s="184">
        <f>'Factor D Back Up'!H1894</f>
        <v>600000</v>
      </c>
      <c r="BV104" s="167">
        <f>'Factor D Back Up'!D1895</f>
        <v>350</v>
      </c>
      <c r="BW104" s="167">
        <f>'Factor D Back Up'!E1895</f>
        <v>1</v>
      </c>
      <c r="BX104" s="167">
        <f>'Factor D Back Up'!F1895</f>
        <v>350</v>
      </c>
      <c r="BY104" s="184">
        <f>'Factor D Back Up'!G1895</f>
        <v>2000</v>
      </c>
      <c r="BZ104" s="184">
        <f>'Factor D Back Up'!H1895</f>
        <v>700000</v>
      </c>
      <c r="CB104" s="187">
        <f t="shared" si="107"/>
        <v>2340000</v>
      </c>
      <c r="CC104" s="238"/>
      <c r="CD104" s="281">
        <f t="shared" si="108"/>
        <v>2340000</v>
      </c>
      <c r="CF104" s="576">
        <f t="shared" si="95"/>
        <v>2340000</v>
      </c>
    </row>
    <row r="105" spans="1:84" s="17" customFormat="1" ht="15" customHeight="1" x14ac:dyDescent="0.25">
      <c r="A105" s="212" t="s">
        <v>266</v>
      </c>
      <c r="B105" s="291"/>
      <c r="C105" s="339"/>
      <c r="D105" s="167">
        <v>0</v>
      </c>
      <c r="E105" s="167" t="e">
        <f t="shared" si="109"/>
        <v>#DIV/0!</v>
      </c>
      <c r="F105" s="167">
        <v>0</v>
      </c>
      <c r="G105" s="184" t="e">
        <f t="shared" si="121"/>
        <v>#DIV/0!</v>
      </c>
      <c r="H105" s="184">
        <v>0</v>
      </c>
      <c r="I105" s="167">
        <v>0</v>
      </c>
      <c r="J105" s="167" t="e">
        <f t="shared" si="111"/>
        <v>#DIV/0!</v>
      </c>
      <c r="K105" s="167">
        <v>0</v>
      </c>
      <c r="L105" s="184" t="e">
        <f t="shared" si="122"/>
        <v>#DIV/0!</v>
      </c>
      <c r="M105" s="184">
        <v>0</v>
      </c>
      <c r="N105" s="167">
        <v>0</v>
      </c>
      <c r="O105" s="167" t="e">
        <f t="shared" si="113"/>
        <v>#DIV/0!</v>
      </c>
      <c r="P105" s="167">
        <v>0</v>
      </c>
      <c r="Q105" s="184" t="e">
        <f t="shared" si="123"/>
        <v>#DIV/0!</v>
      </c>
      <c r="R105" s="184">
        <v>0</v>
      </c>
      <c r="S105" s="167">
        <v>0</v>
      </c>
      <c r="T105" s="167" t="e">
        <f t="shared" si="124"/>
        <v>#DIV/0!</v>
      </c>
      <c r="U105" s="167">
        <v>0</v>
      </c>
      <c r="V105" s="184" t="e">
        <f t="shared" si="125"/>
        <v>#DIV/0!</v>
      </c>
      <c r="W105" s="184">
        <v>0</v>
      </c>
      <c r="X105" s="167">
        <v>0</v>
      </c>
      <c r="Y105" s="167" t="e">
        <f t="shared" si="116"/>
        <v>#DIV/0!</v>
      </c>
      <c r="Z105" s="167">
        <v>0</v>
      </c>
      <c r="AA105" s="184" t="e">
        <f t="shared" si="117"/>
        <v>#DIV/0!</v>
      </c>
      <c r="AB105" s="184">
        <v>0</v>
      </c>
      <c r="AC105" s="167">
        <v>0</v>
      </c>
      <c r="AD105" s="167" t="e">
        <f t="shared" si="118"/>
        <v>#DIV/0!</v>
      </c>
      <c r="AE105" s="167">
        <v>0</v>
      </c>
      <c r="AF105" s="184" t="e">
        <f t="shared" si="119"/>
        <v>#DIV/0!</v>
      </c>
      <c r="AG105" s="184">
        <v>0</v>
      </c>
      <c r="AH105" s="167">
        <v>0</v>
      </c>
      <c r="AI105" s="167" t="e">
        <f t="shared" si="102"/>
        <v>#DIV/0!</v>
      </c>
      <c r="AJ105" s="167">
        <v>0</v>
      </c>
      <c r="AK105" s="184" t="e">
        <f t="shared" si="68"/>
        <v>#DIV/0!</v>
      </c>
      <c r="AL105" s="184">
        <v>0</v>
      </c>
      <c r="AM105" s="167">
        <v>0</v>
      </c>
      <c r="AN105" s="167" t="e">
        <f t="shared" si="103"/>
        <v>#DIV/0!</v>
      </c>
      <c r="AO105" s="167">
        <v>0</v>
      </c>
      <c r="AP105" s="184" t="e">
        <f t="shared" si="104"/>
        <v>#DIV/0!</v>
      </c>
      <c r="AQ105" s="184">
        <v>0</v>
      </c>
      <c r="AR105" s="167">
        <v>0</v>
      </c>
      <c r="AS105" s="167" t="e">
        <f t="shared" si="105"/>
        <v>#DIV/0!</v>
      </c>
      <c r="AT105" s="167">
        <v>0</v>
      </c>
      <c r="AU105" s="184" t="e">
        <f t="shared" si="106"/>
        <v>#DIV/0!</v>
      </c>
      <c r="AV105" s="184">
        <v>0</v>
      </c>
      <c r="AW105" s="167">
        <v>0</v>
      </c>
      <c r="AX105" s="167" t="e">
        <f t="shared" si="126"/>
        <v>#DIV/0!</v>
      </c>
      <c r="AY105" s="167">
        <v>0</v>
      </c>
      <c r="AZ105" s="184" t="e">
        <f t="shared" si="127"/>
        <v>#DIV/0!</v>
      </c>
      <c r="BA105" s="184">
        <v>0</v>
      </c>
      <c r="BB105" s="175">
        <f>'Factor D Back Up'!D1909</f>
        <v>0</v>
      </c>
      <c r="BC105" s="175">
        <f>'Factor D Back Up'!E1909</f>
        <v>0</v>
      </c>
      <c r="BD105" s="175">
        <f>'Factor D Back Up'!F1909</f>
        <v>0</v>
      </c>
      <c r="BE105" s="185">
        <f>'Factor D Back Up'!G1909</f>
        <v>0</v>
      </c>
      <c r="BF105" s="185">
        <f>'Factor D Back Up'!H1909</f>
        <v>0</v>
      </c>
      <c r="BG105" s="175">
        <f>'Factor D Back Up'!D1910</f>
        <v>0</v>
      </c>
      <c r="BH105" s="175">
        <f>'Factor D Back Up'!E1910</f>
        <v>0</v>
      </c>
      <c r="BI105" s="175">
        <f>'Factor D Back Up'!F1910</f>
        <v>0</v>
      </c>
      <c r="BJ105" s="185">
        <f>'Factor D Back Up'!G1910</f>
        <v>0</v>
      </c>
      <c r="BK105" s="185">
        <f>'Factor D Back Up'!H1910</f>
        <v>0</v>
      </c>
      <c r="BL105" s="175">
        <f>'Factor D Back Up'!D1911</f>
        <v>0</v>
      </c>
      <c r="BM105" s="175">
        <f>'Factor D Back Up'!E1911</f>
        <v>0</v>
      </c>
      <c r="BN105" s="175">
        <f>'Factor D Back Up'!F1911</f>
        <v>0</v>
      </c>
      <c r="BO105" s="185">
        <f>'Factor D Back Up'!G1911</f>
        <v>0</v>
      </c>
      <c r="BP105" s="185">
        <f>'Factor D Back Up'!H1911</f>
        <v>0</v>
      </c>
      <c r="BQ105" s="175">
        <f>'Factor D Back Up'!D1912</f>
        <v>0</v>
      </c>
      <c r="BR105" s="175">
        <f>'Factor D Back Up'!E1912</f>
        <v>0</v>
      </c>
      <c r="BS105" s="175">
        <f>'Factor D Back Up'!F1912</f>
        <v>0</v>
      </c>
      <c r="BT105" s="185">
        <f>'Factor D Back Up'!G1912</f>
        <v>0</v>
      </c>
      <c r="BU105" s="185">
        <f>'Factor D Back Up'!H1912</f>
        <v>0</v>
      </c>
      <c r="BV105" s="175">
        <f>'Factor D Back Up'!D1913</f>
        <v>0</v>
      </c>
      <c r="BW105" s="175">
        <f>'Factor D Back Up'!E1913</f>
        <v>0</v>
      </c>
      <c r="BX105" s="175">
        <f>'Factor D Back Up'!F1913</f>
        <v>0</v>
      </c>
      <c r="BY105" s="185">
        <f>'Factor D Back Up'!G1913</f>
        <v>0</v>
      </c>
      <c r="BZ105" s="185">
        <f>'Factor D Back Up'!H1913</f>
        <v>0</v>
      </c>
      <c r="CB105" s="187">
        <f t="shared" si="107"/>
        <v>0</v>
      </c>
      <c r="CC105" s="238"/>
      <c r="CD105" s="281">
        <f t="shared" si="108"/>
        <v>0</v>
      </c>
      <c r="CF105" s="573">
        <f t="shared" si="95"/>
        <v>0</v>
      </c>
    </row>
    <row r="106" spans="1:84" s="17" customFormat="1" ht="15" customHeight="1" x14ac:dyDescent="0.25">
      <c r="A106" s="212" t="s">
        <v>1039</v>
      </c>
      <c r="B106" s="165" t="s">
        <v>184</v>
      </c>
      <c r="C106" s="590" t="s">
        <v>152</v>
      </c>
      <c r="D106" s="167">
        <v>0</v>
      </c>
      <c r="E106" s="167" t="e">
        <f t="shared" si="109"/>
        <v>#DIV/0!</v>
      </c>
      <c r="F106" s="167">
        <v>0</v>
      </c>
      <c r="G106" s="184" t="e">
        <f t="shared" si="121"/>
        <v>#DIV/0!</v>
      </c>
      <c r="H106" s="184">
        <v>0</v>
      </c>
      <c r="I106" s="167">
        <v>0</v>
      </c>
      <c r="J106" s="167" t="e">
        <f t="shared" si="111"/>
        <v>#DIV/0!</v>
      </c>
      <c r="K106" s="167">
        <v>0</v>
      </c>
      <c r="L106" s="184" t="e">
        <f t="shared" si="122"/>
        <v>#DIV/0!</v>
      </c>
      <c r="M106" s="184">
        <v>0</v>
      </c>
      <c r="N106" s="167">
        <v>0</v>
      </c>
      <c r="O106" s="167" t="e">
        <f t="shared" si="113"/>
        <v>#DIV/0!</v>
      </c>
      <c r="P106" s="167">
        <v>0</v>
      </c>
      <c r="Q106" s="184" t="e">
        <f t="shared" si="123"/>
        <v>#DIV/0!</v>
      </c>
      <c r="R106" s="184">
        <v>0</v>
      </c>
      <c r="S106" s="167">
        <v>0</v>
      </c>
      <c r="T106" s="167" t="e">
        <f t="shared" si="124"/>
        <v>#DIV/0!</v>
      </c>
      <c r="U106" s="167">
        <v>0</v>
      </c>
      <c r="V106" s="184" t="e">
        <f t="shared" si="125"/>
        <v>#DIV/0!</v>
      </c>
      <c r="W106" s="184">
        <v>0</v>
      </c>
      <c r="X106" s="167">
        <v>0</v>
      </c>
      <c r="Y106" s="167" t="e">
        <f t="shared" si="116"/>
        <v>#DIV/0!</v>
      </c>
      <c r="Z106" s="167">
        <v>0</v>
      </c>
      <c r="AA106" s="184" t="e">
        <f t="shared" si="117"/>
        <v>#DIV/0!</v>
      </c>
      <c r="AB106" s="184">
        <v>0</v>
      </c>
      <c r="AC106" s="167">
        <v>0</v>
      </c>
      <c r="AD106" s="167" t="e">
        <f t="shared" si="118"/>
        <v>#DIV/0!</v>
      </c>
      <c r="AE106" s="167">
        <v>0</v>
      </c>
      <c r="AF106" s="184" t="e">
        <f t="shared" si="119"/>
        <v>#DIV/0!</v>
      </c>
      <c r="AG106" s="184">
        <v>0</v>
      </c>
      <c r="AH106" s="167">
        <v>0</v>
      </c>
      <c r="AI106" s="167" t="e">
        <f t="shared" si="102"/>
        <v>#DIV/0!</v>
      </c>
      <c r="AJ106" s="167">
        <v>0</v>
      </c>
      <c r="AK106" s="184" t="e">
        <f t="shared" si="68"/>
        <v>#DIV/0!</v>
      </c>
      <c r="AL106" s="184">
        <v>0</v>
      </c>
      <c r="AM106" s="167">
        <v>0</v>
      </c>
      <c r="AN106" s="167" t="e">
        <f t="shared" si="103"/>
        <v>#DIV/0!</v>
      </c>
      <c r="AO106" s="167">
        <v>0</v>
      </c>
      <c r="AP106" s="184" t="e">
        <f t="shared" si="104"/>
        <v>#DIV/0!</v>
      </c>
      <c r="AQ106" s="184">
        <v>0</v>
      </c>
      <c r="AR106" s="167">
        <v>0</v>
      </c>
      <c r="AS106" s="167" t="e">
        <f t="shared" si="105"/>
        <v>#DIV/0!</v>
      </c>
      <c r="AT106" s="167">
        <v>0</v>
      </c>
      <c r="AU106" s="184" t="e">
        <f t="shared" si="106"/>
        <v>#DIV/0!</v>
      </c>
      <c r="AV106" s="184">
        <v>0</v>
      </c>
      <c r="AW106" s="167">
        <v>0</v>
      </c>
      <c r="AX106" s="167" t="e">
        <f t="shared" si="126"/>
        <v>#DIV/0!</v>
      </c>
      <c r="AY106" s="167">
        <v>0</v>
      </c>
      <c r="AZ106" s="184" t="e">
        <f t="shared" si="127"/>
        <v>#DIV/0!</v>
      </c>
      <c r="BA106" s="184">
        <v>0</v>
      </c>
      <c r="BB106" s="167">
        <f>'Factor D Back Up'!D1927</f>
        <v>50</v>
      </c>
      <c r="BC106" s="167">
        <f>'Factor D Back Up'!E1927</f>
        <v>1.4950000000000001</v>
      </c>
      <c r="BD106" s="167">
        <f>'Factor D Back Up'!F1927</f>
        <v>74.75</v>
      </c>
      <c r="BE106" s="184">
        <f>'Factor D Back Up'!G1927</f>
        <v>11.54</v>
      </c>
      <c r="BF106" s="184">
        <f>'Factor D Back Up'!H1927</f>
        <v>862.6149999999999</v>
      </c>
      <c r="BG106" s="167">
        <f>'Factor D Back Up'!D1928</f>
        <v>55</v>
      </c>
      <c r="BH106" s="167">
        <f>'Factor D Back Up'!E1928</f>
        <v>1.4950000000000001</v>
      </c>
      <c r="BI106" s="167">
        <f>'Factor D Back Up'!F1928</f>
        <v>82.225000000000009</v>
      </c>
      <c r="BJ106" s="184">
        <f>'Factor D Back Up'!G1928</f>
        <v>11.840039999999998</v>
      </c>
      <c r="BK106" s="184">
        <f>'Factor D Back Up'!H1928</f>
        <v>973.54728899999998</v>
      </c>
      <c r="BL106" s="167">
        <f>'Factor D Back Up'!D1929</f>
        <v>60</v>
      </c>
      <c r="BM106" s="167">
        <f>'Factor D Back Up'!E1929</f>
        <v>1.4950000000000001</v>
      </c>
      <c r="BN106" s="167">
        <f>'Factor D Back Up'!F1929</f>
        <v>89.7</v>
      </c>
      <c r="BO106" s="184">
        <f>'Factor D Back Up'!G1929</f>
        <v>12.147881039999998</v>
      </c>
      <c r="BP106" s="184">
        <f>'Factor D Back Up'!H1929</f>
        <v>1089.6649292879999</v>
      </c>
      <c r="BQ106" s="167">
        <f>'Factor D Back Up'!D1930</f>
        <v>65</v>
      </c>
      <c r="BR106" s="167">
        <f>'Factor D Back Up'!E1930</f>
        <v>1.4950000000000001</v>
      </c>
      <c r="BS106" s="167">
        <f>'Factor D Back Up'!F1930</f>
        <v>97.175000000000011</v>
      </c>
      <c r="BT106" s="184">
        <f>'Factor D Back Up'!G1930</f>
        <v>12.463725947039999</v>
      </c>
      <c r="BU106" s="184">
        <f>'Factor D Back Up'!H1930</f>
        <v>1211.1625689036121</v>
      </c>
      <c r="BV106" s="167">
        <f>'Factor D Back Up'!D1931</f>
        <v>70</v>
      </c>
      <c r="BW106" s="167">
        <f>'Factor D Back Up'!E1931</f>
        <v>1.4950000000000001</v>
      </c>
      <c r="BX106" s="167">
        <f>'Factor D Back Up'!F1931</f>
        <v>104.65</v>
      </c>
      <c r="BY106" s="184">
        <f>'Factor D Back Up'!G1931</f>
        <v>12.787782821663038</v>
      </c>
      <c r="BZ106" s="184">
        <f>'Factor D Back Up'!H1931</f>
        <v>1338.2414722870369</v>
      </c>
      <c r="CB106" s="187">
        <f t="shared" si="107"/>
        <v>5475.231259478649</v>
      </c>
      <c r="CC106" s="238"/>
      <c r="CD106" s="281">
        <f t="shared" si="108"/>
        <v>5475.231259478649</v>
      </c>
      <c r="CF106" s="576">
        <f t="shared" si="95"/>
        <v>5475.231259478649</v>
      </c>
    </row>
    <row r="107" spans="1:84" s="17" customFormat="1" ht="15" customHeight="1" x14ac:dyDescent="0.25">
      <c r="A107" s="212" t="s">
        <v>1057</v>
      </c>
      <c r="B107" s="165" t="s">
        <v>184</v>
      </c>
      <c r="C107" s="590" t="s">
        <v>152</v>
      </c>
      <c r="D107" s="167">
        <v>0</v>
      </c>
      <c r="E107" s="167" t="e">
        <f t="shared" si="109"/>
        <v>#DIV/0!</v>
      </c>
      <c r="F107" s="167">
        <v>0</v>
      </c>
      <c r="G107" s="184" t="e">
        <f t="shared" si="121"/>
        <v>#DIV/0!</v>
      </c>
      <c r="H107" s="184">
        <v>0</v>
      </c>
      <c r="I107" s="167">
        <v>0</v>
      </c>
      <c r="J107" s="167" t="e">
        <f t="shared" si="111"/>
        <v>#DIV/0!</v>
      </c>
      <c r="K107" s="167">
        <v>0</v>
      </c>
      <c r="L107" s="184" t="e">
        <f t="shared" si="122"/>
        <v>#DIV/0!</v>
      </c>
      <c r="M107" s="184">
        <v>0</v>
      </c>
      <c r="N107" s="167">
        <v>0</v>
      </c>
      <c r="O107" s="167" t="e">
        <f t="shared" si="113"/>
        <v>#DIV/0!</v>
      </c>
      <c r="P107" s="167">
        <v>0</v>
      </c>
      <c r="Q107" s="184" t="e">
        <f t="shared" si="123"/>
        <v>#DIV/0!</v>
      </c>
      <c r="R107" s="184">
        <v>0</v>
      </c>
      <c r="S107" s="167">
        <v>0</v>
      </c>
      <c r="T107" s="167" t="e">
        <f t="shared" si="124"/>
        <v>#DIV/0!</v>
      </c>
      <c r="U107" s="167">
        <v>0</v>
      </c>
      <c r="V107" s="184" t="e">
        <f t="shared" si="125"/>
        <v>#DIV/0!</v>
      </c>
      <c r="W107" s="184">
        <v>0</v>
      </c>
      <c r="X107" s="167">
        <v>0</v>
      </c>
      <c r="Y107" s="167" t="e">
        <f t="shared" si="116"/>
        <v>#DIV/0!</v>
      </c>
      <c r="Z107" s="167">
        <v>0</v>
      </c>
      <c r="AA107" s="184" t="e">
        <f t="shared" si="117"/>
        <v>#DIV/0!</v>
      </c>
      <c r="AB107" s="184">
        <v>0</v>
      </c>
      <c r="AC107" s="167">
        <v>0</v>
      </c>
      <c r="AD107" s="167" t="e">
        <f t="shared" si="118"/>
        <v>#DIV/0!</v>
      </c>
      <c r="AE107" s="167">
        <v>0</v>
      </c>
      <c r="AF107" s="184" t="e">
        <f t="shared" si="119"/>
        <v>#DIV/0!</v>
      </c>
      <c r="AG107" s="184">
        <v>0</v>
      </c>
      <c r="AH107" s="167">
        <v>0</v>
      </c>
      <c r="AI107" s="167" t="e">
        <f t="shared" si="102"/>
        <v>#DIV/0!</v>
      </c>
      <c r="AJ107" s="167">
        <v>0</v>
      </c>
      <c r="AK107" s="184" t="e">
        <f t="shared" si="68"/>
        <v>#DIV/0!</v>
      </c>
      <c r="AL107" s="184">
        <v>0</v>
      </c>
      <c r="AM107" s="167">
        <v>0</v>
      </c>
      <c r="AN107" s="167" t="e">
        <f t="shared" si="103"/>
        <v>#DIV/0!</v>
      </c>
      <c r="AO107" s="167">
        <v>0</v>
      </c>
      <c r="AP107" s="184" t="e">
        <f t="shared" si="104"/>
        <v>#DIV/0!</v>
      </c>
      <c r="AQ107" s="184">
        <v>0</v>
      </c>
      <c r="AR107" s="167">
        <v>0</v>
      </c>
      <c r="AS107" s="167" t="e">
        <f t="shared" si="105"/>
        <v>#DIV/0!</v>
      </c>
      <c r="AT107" s="167">
        <v>0</v>
      </c>
      <c r="AU107" s="184" t="e">
        <f t="shared" si="106"/>
        <v>#DIV/0!</v>
      </c>
      <c r="AV107" s="184">
        <v>0</v>
      </c>
      <c r="AW107" s="167">
        <v>0</v>
      </c>
      <c r="AX107" s="167" t="e">
        <f t="shared" si="126"/>
        <v>#DIV/0!</v>
      </c>
      <c r="AY107" s="167">
        <v>0</v>
      </c>
      <c r="AZ107" s="184" t="e">
        <f t="shared" si="127"/>
        <v>#DIV/0!</v>
      </c>
      <c r="BA107" s="184">
        <v>0</v>
      </c>
      <c r="BB107" s="167">
        <f>'Factor D Back Up'!D1945</f>
        <v>12</v>
      </c>
      <c r="BC107" s="167">
        <f>'Factor D Back Up'!E1945</f>
        <v>1.4950000000000001</v>
      </c>
      <c r="BD107" s="167">
        <f>'Factor D Back Up'!F1945</f>
        <v>17.940000000000001</v>
      </c>
      <c r="BE107" s="184">
        <f>'Factor D Back Up'!G1945</f>
        <v>3.4</v>
      </c>
      <c r="BF107" s="184">
        <f>'Factor D Back Up'!H1945</f>
        <v>60.996000000000002</v>
      </c>
      <c r="BG107" s="167">
        <f>'Factor D Back Up'!D1946</f>
        <v>20</v>
      </c>
      <c r="BH107" s="167">
        <f>'Factor D Back Up'!E1946</f>
        <v>1.4950000000000001</v>
      </c>
      <c r="BI107" s="167">
        <f>'Factor D Back Up'!F1946</f>
        <v>29.900000000000002</v>
      </c>
      <c r="BJ107" s="184">
        <f>'Factor D Back Up'!G1946</f>
        <v>3.4883999999999999</v>
      </c>
      <c r="BK107" s="184">
        <f>'Factor D Back Up'!H1946</f>
        <v>104.30316000000001</v>
      </c>
      <c r="BL107" s="167">
        <f>'Factor D Back Up'!D1947</f>
        <v>20</v>
      </c>
      <c r="BM107" s="167">
        <f>'Factor D Back Up'!E1947</f>
        <v>1.4950000000000001</v>
      </c>
      <c r="BN107" s="167">
        <f>'Factor D Back Up'!F1947</f>
        <v>29.900000000000002</v>
      </c>
      <c r="BO107" s="184">
        <f>'Factor D Back Up'!G1947</f>
        <v>3.5790983999999999</v>
      </c>
      <c r="BP107" s="184">
        <f>'Factor D Back Up'!H1947</f>
        <v>107.01504216000001</v>
      </c>
      <c r="BQ107" s="167">
        <f>'Factor D Back Up'!D1948</f>
        <v>32</v>
      </c>
      <c r="BR107" s="167">
        <f>'Factor D Back Up'!E1948</f>
        <v>1.4950000000000001</v>
      </c>
      <c r="BS107" s="167">
        <f>'Factor D Back Up'!F1948</f>
        <v>47.84</v>
      </c>
      <c r="BT107" s="184">
        <f>'Factor D Back Up'!G1948</f>
        <v>3.6721549583999997</v>
      </c>
      <c r="BU107" s="184">
        <f>'Factor D Back Up'!H1948</f>
        <v>175.67589320985599</v>
      </c>
      <c r="BV107" s="167">
        <f>'Factor D Back Up'!D1949</f>
        <v>32</v>
      </c>
      <c r="BW107" s="167">
        <f>'Factor D Back Up'!E1949</f>
        <v>1.4950000000000001</v>
      </c>
      <c r="BX107" s="167">
        <f>'Factor D Back Up'!F1949</f>
        <v>47.84</v>
      </c>
      <c r="BY107" s="184">
        <f>'Factor D Back Up'!G1949</f>
        <v>3.7676309873183995</v>
      </c>
      <c r="BZ107" s="184">
        <f>'Factor D Back Up'!H1949</f>
        <v>180.24346643331225</v>
      </c>
      <c r="CB107" s="187"/>
      <c r="CC107" s="238"/>
      <c r="CD107" s="281"/>
      <c r="CF107" s="576">
        <f t="shared" si="95"/>
        <v>628.2335618031683</v>
      </c>
    </row>
    <row r="108" spans="1:84" s="17" customFormat="1" ht="15" customHeight="1" x14ac:dyDescent="0.25">
      <c r="A108" s="212" t="s">
        <v>1051</v>
      </c>
      <c r="B108" s="165" t="s">
        <v>184</v>
      </c>
      <c r="C108" s="590" t="s">
        <v>152</v>
      </c>
      <c r="D108" s="175"/>
      <c r="E108" s="175"/>
      <c r="F108" s="175"/>
      <c r="G108" s="185"/>
      <c r="H108" s="185"/>
      <c r="I108" s="175"/>
      <c r="J108" s="175"/>
      <c r="K108" s="175"/>
      <c r="L108" s="185"/>
      <c r="M108" s="185"/>
      <c r="N108" s="175"/>
      <c r="O108" s="175"/>
      <c r="P108" s="175"/>
      <c r="Q108" s="185"/>
      <c r="R108" s="185"/>
      <c r="S108" s="175"/>
      <c r="T108" s="175"/>
      <c r="U108" s="175"/>
      <c r="V108" s="185"/>
      <c r="W108" s="185"/>
      <c r="X108" s="175"/>
      <c r="Y108" s="175"/>
      <c r="Z108" s="175"/>
      <c r="AA108" s="185"/>
      <c r="AB108" s="185"/>
      <c r="AC108" s="175"/>
      <c r="AD108" s="175"/>
      <c r="AE108" s="175"/>
      <c r="AF108" s="185"/>
      <c r="AG108" s="185"/>
      <c r="AH108" s="175"/>
      <c r="AI108" s="175"/>
      <c r="AJ108" s="175"/>
      <c r="AK108" s="185"/>
      <c r="AL108" s="185"/>
      <c r="AM108" s="175"/>
      <c r="AN108" s="175"/>
      <c r="AO108" s="175"/>
      <c r="AP108" s="185"/>
      <c r="AQ108" s="185"/>
      <c r="AR108" s="175"/>
      <c r="AS108" s="175"/>
      <c r="AT108" s="175"/>
      <c r="AU108" s="185"/>
      <c r="AV108" s="185"/>
      <c r="AW108" s="175"/>
      <c r="AX108" s="175"/>
      <c r="AY108" s="175"/>
      <c r="AZ108" s="185"/>
      <c r="BA108" s="185"/>
      <c r="BB108" s="167">
        <f>'Factor D Back Up'!D1963</f>
        <v>50</v>
      </c>
      <c r="BC108" s="167">
        <f>'Factor D Back Up'!E1963</f>
        <v>1.4950000000000001</v>
      </c>
      <c r="BD108" s="167">
        <f>'Factor D Back Up'!F1963</f>
        <v>74.75</v>
      </c>
      <c r="BE108" s="184">
        <f>'Factor D Back Up'!G1963</f>
        <v>8.82</v>
      </c>
      <c r="BF108" s="184">
        <f>'Factor D Back Up'!H1963</f>
        <v>659.29500000000007</v>
      </c>
      <c r="BG108" s="167">
        <f>'Factor D Back Up'!D1964</f>
        <v>55</v>
      </c>
      <c r="BH108" s="167">
        <f>'Factor D Back Up'!E1964</f>
        <v>1.4950000000000001</v>
      </c>
      <c r="BI108" s="167">
        <f>'Factor D Back Up'!F1964</f>
        <v>82.225000000000009</v>
      </c>
      <c r="BJ108" s="184">
        <f>'Factor D Back Up'!G1964</f>
        <v>9.0493199999999998</v>
      </c>
      <c r="BK108" s="184">
        <f>'Factor D Back Up'!H1964</f>
        <v>744.0803370000001</v>
      </c>
      <c r="BL108" s="167">
        <f>'Factor D Back Up'!D1965</f>
        <v>60</v>
      </c>
      <c r="BM108" s="167">
        <f>'Factor D Back Up'!E1965</f>
        <v>1.4950000000000001</v>
      </c>
      <c r="BN108" s="167">
        <f>'Factor D Back Up'!F1965</f>
        <v>89.7</v>
      </c>
      <c r="BO108" s="184">
        <f>'Factor D Back Up'!G1965</f>
        <v>9.2846023199999994</v>
      </c>
      <c r="BP108" s="184">
        <f>'Factor D Back Up'!H1965</f>
        <v>832.82882810399997</v>
      </c>
      <c r="BQ108" s="167">
        <f>'Factor D Back Up'!D1966</f>
        <v>65</v>
      </c>
      <c r="BR108" s="167">
        <f>'Factor D Back Up'!E1966</f>
        <v>1.4950000000000001</v>
      </c>
      <c r="BS108" s="167">
        <f>'Factor D Back Up'!F1966</f>
        <v>97.175000000000011</v>
      </c>
      <c r="BT108" s="184">
        <f>'Factor D Back Up'!G1966</f>
        <v>9.5260019803200002</v>
      </c>
      <c r="BU108" s="184">
        <f>'Factor D Back Up'!H1966</f>
        <v>925.68924243759614</v>
      </c>
      <c r="BV108" s="167">
        <f>'Factor D Back Up'!D1967</f>
        <v>70</v>
      </c>
      <c r="BW108" s="167">
        <f>'Factor D Back Up'!E1967</f>
        <v>1.4950000000000001</v>
      </c>
      <c r="BX108" s="167">
        <f>'Factor D Back Up'!F1967</f>
        <v>104.65</v>
      </c>
      <c r="BY108" s="184">
        <f>'Factor D Back Up'!G1967</f>
        <v>9.7736780318083198</v>
      </c>
      <c r="BZ108" s="184">
        <f>'Factor D Back Up'!H1967</f>
        <v>1022.8154060287408</v>
      </c>
      <c r="CB108" s="187"/>
      <c r="CC108" s="238"/>
      <c r="CD108" s="281"/>
      <c r="CF108" s="576">
        <f t="shared" si="95"/>
        <v>4184.708813570337</v>
      </c>
    </row>
    <row r="109" spans="1:84" s="17" customFormat="1" ht="15" customHeight="1" x14ac:dyDescent="0.25">
      <c r="A109" s="212" t="s">
        <v>1052</v>
      </c>
      <c r="B109" s="165" t="s">
        <v>184</v>
      </c>
      <c r="C109" s="590" t="s">
        <v>152</v>
      </c>
      <c r="D109" s="175"/>
      <c r="E109" s="175"/>
      <c r="F109" s="175"/>
      <c r="G109" s="185"/>
      <c r="H109" s="185"/>
      <c r="I109" s="175"/>
      <c r="J109" s="175"/>
      <c r="K109" s="175"/>
      <c r="L109" s="185"/>
      <c r="M109" s="185"/>
      <c r="N109" s="175"/>
      <c r="O109" s="175"/>
      <c r="P109" s="175"/>
      <c r="Q109" s="185"/>
      <c r="R109" s="185"/>
      <c r="S109" s="175"/>
      <c r="T109" s="175"/>
      <c r="U109" s="175"/>
      <c r="V109" s="185"/>
      <c r="W109" s="185"/>
      <c r="X109" s="175"/>
      <c r="Y109" s="175"/>
      <c r="Z109" s="175"/>
      <c r="AA109" s="185"/>
      <c r="AB109" s="185"/>
      <c r="AC109" s="175"/>
      <c r="AD109" s="175"/>
      <c r="AE109" s="175"/>
      <c r="AF109" s="185"/>
      <c r="AG109" s="185"/>
      <c r="AH109" s="175"/>
      <c r="AI109" s="175"/>
      <c r="AJ109" s="175"/>
      <c r="AK109" s="185"/>
      <c r="AL109" s="185"/>
      <c r="AM109" s="175"/>
      <c r="AN109" s="175"/>
      <c r="AO109" s="175"/>
      <c r="AP109" s="185"/>
      <c r="AQ109" s="185"/>
      <c r="AR109" s="175"/>
      <c r="AS109" s="175"/>
      <c r="AT109" s="175"/>
      <c r="AU109" s="185"/>
      <c r="AV109" s="185"/>
      <c r="AW109" s="175"/>
      <c r="AX109" s="175"/>
      <c r="AY109" s="175"/>
      <c r="AZ109" s="185"/>
      <c r="BA109" s="185"/>
      <c r="BB109" s="167">
        <f>'Factor D Back Up'!D1981</f>
        <v>12</v>
      </c>
      <c r="BC109" s="167">
        <f>'Factor D Back Up'!E1981</f>
        <v>1.4950000000000001</v>
      </c>
      <c r="BD109" s="167">
        <f>'Factor D Back Up'!F1981</f>
        <v>17.940000000000001</v>
      </c>
      <c r="BE109" s="184">
        <f>'Factor D Back Up'!G1981</f>
        <v>2.6</v>
      </c>
      <c r="BF109" s="184">
        <f>'Factor D Back Up'!H1981</f>
        <v>46.644000000000005</v>
      </c>
      <c r="BG109" s="167">
        <f>'Factor D Back Up'!D1982</f>
        <v>20</v>
      </c>
      <c r="BH109" s="167">
        <f>'Factor D Back Up'!E1982</f>
        <v>1.4950000000000001</v>
      </c>
      <c r="BI109" s="167">
        <f>'Factor D Back Up'!F1982</f>
        <v>29.900000000000002</v>
      </c>
      <c r="BJ109" s="184">
        <f>'Factor D Back Up'!G1982</f>
        <v>2.6676000000000002</v>
      </c>
      <c r="BK109" s="184">
        <f>'Factor D Back Up'!H1982</f>
        <v>79.761240000000015</v>
      </c>
      <c r="BL109" s="167">
        <f>'Factor D Back Up'!D1983</f>
        <v>20</v>
      </c>
      <c r="BM109" s="167">
        <f>'Factor D Back Up'!E1983</f>
        <v>1.4950000000000001</v>
      </c>
      <c r="BN109" s="167">
        <f>'Factor D Back Up'!F1983</f>
        <v>29.900000000000002</v>
      </c>
      <c r="BO109" s="184">
        <f>'Factor D Back Up'!G1983</f>
        <v>2.7369576000000002</v>
      </c>
      <c r="BP109" s="184">
        <f>'Factor D Back Up'!H1983</f>
        <v>81.835032240000018</v>
      </c>
      <c r="BQ109" s="167">
        <f>'Factor D Back Up'!D1984</f>
        <v>32</v>
      </c>
      <c r="BR109" s="167">
        <f>'Factor D Back Up'!E1984</f>
        <v>1.4950000000000001</v>
      </c>
      <c r="BS109" s="167">
        <f>'Factor D Back Up'!F1984</f>
        <v>47.84</v>
      </c>
      <c r="BT109" s="184">
        <f>'Factor D Back Up'!G1984</f>
        <v>2.8081184976000002</v>
      </c>
      <c r="BU109" s="184">
        <f>'Factor D Back Up'!H1984</f>
        <v>134.34038892518402</v>
      </c>
      <c r="BV109" s="167">
        <f>'Factor D Back Up'!D1985</f>
        <v>32</v>
      </c>
      <c r="BW109" s="167">
        <f>'Factor D Back Up'!E1985</f>
        <v>1.4950000000000001</v>
      </c>
      <c r="BX109" s="167">
        <f>'Factor D Back Up'!F1985</f>
        <v>47.84</v>
      </c>
      <c r="BY109" s="184">
        <f>'Factor D Back Up'!G1985</f>
        <v>2.8811295785376001</v>
      </c>
      <c r="BZ109" s="184">
        <f>'Factor D Back Up'!H1985</f>
        <v>137.8332390372388</v>
      </c>
      <c r="CB109" s="187"/>
      <c r="CC109" s="238"/>
      <c r="CD109" s="281"/>
      <c r="CF109" s="576">
        <f t="shared" si="95"/>
        <v>480.41390020242284</v>
      </c>
    </row>
    <row r="110" spans="1:84" s="17" customFormat="1" ht="15" customHeight="1" x14ac:dyDescent="0.25">
      <c r="A110" s="212" t="s">
        <v>1053</v>
      </c>
      <c r="B110" s="165" t="s">
        <v>184</v>
      </c>
      <c r="C110" s="590" t="s">
        <v>152</v>
      </c>
      <c r="D110" s="175"/>
      <c r="E110" s="175"/>
      <c r="F110" s="175"/>
      <c r="G110" s="185"/>
      <c r="H110" s="185"/>
      <c r="I110" s="175"/>
      <c r="J110" s="175"/>
      <c r="K110" s="175"/>
      <c r="L110" s="185"/>
      <c r="M110" s="185"/>
      <c r="N110" s="175"/>
      <c r="O110" s="175"/>
      <c r="P110" s="175"/>
      <c r="Q110" s="185"/>
      <c r="R110" s="185"/>
      <c r="S110" s="175"/>
      <c r="T110" s="175"/>
      <c r="U110" s="175"/>
      <c r="V110" s="185"/>
      <c r="W110" s="185"/>
      <c r="X110" s="175"/>
      <c r="Y110" s="175"/>
      <c r="Z110" s="175"/>
      <c r="AA110" s="185"/>
      <c r="AB110" s="185"/>
      <c r="AC110" s="175"/>
      <c r="AD110" s="175"/>
      <c r="AE110" s="175"/>
      <c r="AF110" s="185"/>
      <c r="AG110" s="185"/>
      <c r="AH110" s="175"/>
      <c r="AI110" s="175"/>
      <c r="AJ110" s="175"/>
      <c r="AK110" s="185"/>
      <c r="AL110" s="185"/>
      <c r="AM110" s="175"/>
      <c r="AN110" s="175"/>
      <c r="AO110" s="175"/>
      <c r="AP110" s="185"/>
      <c r="AQ110" s="185"/>
      <c r="AR110" s="175"/>
      <c r="AS110" s="175"/>
      <c r="AT110" s="175"/>
      <c r="AU110" s="185"/>
      <c r="AV110" s="185"/>
      <c r="AW110" s="175"/>
      <c r="AX110" s="175"/>
      <c r="AY110" s="175"/>
      <c r="AZ110" s="185"/>
      <c r="BA110" s="185"/>
      <c r="BB110" s="167">
        <f>'Factor D Back Up'!D1999</f>
        <v>50</v>
      </c>
      <c r="BC110" s="167">
        <f>'Factor D Back Up'!E1999</f>
        <v>1.4950000000000001</v>
      </c>
      <c r="BD110" s="167">
        <f>'Factor D Back Up'!F1999</f>
        <v>74.75</v>
      </c>
      <c r="BE110" s="184">
        <f>'Factor D Back Up'!G1999</f>
        <v>8.82</v>
      </c>
      <c r="BF110" s="184">
        <f>'Factor D Back Up'!H1999</f>
        <v>659.29500000000007</v>
      </c>
      <c r="BG110" s="167">
        <f>'Factor D Back Up'!D2000</f>
        <v>55</v>
      </c>
      <c r="BH110" s="167">
        <f>'Factor D Back Up'!E2000</f>
        <v>1.4950000000000001</v>
      </c>
      <c r="BI110" s="167">
        <f>'Factor D Back Up'!F2000</f>
        <v>82.225000000000009</v>
      </c>
      <c r="BJ110" s="184">
        <f>'Factor D Back Up'!G2000</f>
        <v>9.0493199999999998</v>
      </c>
      <c r="BK110" s="184">
        <f>'Factor D Back Up'!H2000</f>
        <v>744.0803370000001</v>
      </c>
      <c r="BL110" s="167">
        <f>'Factor D Back Up'!D2001</f>
        <v>60</v>
      </c>
      <c r="BM110" s="167">
        <f>'Factor D Back Up'!E2001</f>
        <v>1.4950000000000001</v>
      </c>
      <c r="BN110" s="167">
        <f>'Factor D Back Up'!F2001</f>
        <v>89.7</v>
      </c>
      <c r="BO110" s="184">
        <f>'Factor D Back Up'!G2001</f>
        <v>9.2846023199999994</v>
      </c>
      <c r="BP110" s="184">
        <f>'Factor D Back Up'!H2001</f>
        <v>832.82882810399997</v>
      </c>
      <c r="BQ110" s="167">
        <f>'Factor D Back Up'!D2002</f>
        <v>65</v>
      </c>
      <c r="BR110" s="167">
        <f>'Factor D Back Up'!E2002</f>
        <v>1.4950000000000001</v>
      </c>
      <c r="BS110" s="167">
        <f>'Factor D Back Up'!F2002</f>
        <v>97.175000000000011</v>
      </c>
      <c r="BT110" s="184">
        <f>'Factor D Back Up'!G2002</f>
        <v>9.5260019803200002</v>
      </c>
      <c r="BU110" s="184">
        <f>'Factor D Back Up'!H2002</f>
        <v>925.68924243759614</v>
      </c>
      <c r="BV110" s="167">
        <f>'Factor D Back Up'!D2003</f>
        <v>70</v>
      </c>
      <c r="BW110" s="167">
        <f>'Factor D Back Up'!E2003</f>
        <v>1.4950000000000001</v>
      </c>
      <c r="BX110" s="167">
        <f>'Factor D Back Up'!F2003</f>
        <v>104.65</v>
      </c>
      <c r="BY110" s="184">
        <f>'Factor D Back Up'!G2003</f>
        <v>9.7736780318083198</v>
      </c>
      <c r="BZ110" s="184">
        <f>'Factor D Back Up'!H2003</f>
        <v>1022.8154060287408</v>
      </c>
      <c r="CB110" s="187"/>
      <c r="CC110" s="238"/>
      <c r="CD110" s="281"/>
      <c r="CF110" s="576">
        <f t="shared" si="95"/>
        <v>4184.708813570337</v>
      </c>
    </row>
    <row r="111" spans="1:84" s="17" customFormat="1" ht="15" customHeight="1" x14ac:dyDescent="0.25">
      <c r="A111" s="212" t="s">
        <v>1056</v>
      </c>
      <c r="B111" s="165" t="s">
        <v>184</v>
      </c>
      <c r="C111" s="590" t="s">
        <v>152</v>
      </c>
      <c r="D111" s="175"/>
      <c r="E111" s="175"/>
      <c r="F111" s="175"/>
      <c r="G111" s="185"/>
      <c r="H111" s="185"/>
      <c r="I111" s="175"/>
      <c r="J111" s="175"/>
      <c r="K111" s="175"/>
      <c r="L111" s="185"/>
      <c r="M111" s="185"/>
      <c r="N111" s="175"/>
      <c r="O111" s="175"/>
      <c r="P111" s="175"/>
      <c r="Q111" s="185"/>
      <c r="R111" s="185"/>
      <c r="S111" s="175"/>
      <c r="T111" s="175"/>
      <c r="U111" s="175"/>
      <c r="V111" s="185"/>
      <c r="W111" s="185"/>
      <c r="X111" s="175"/>
      <c r="Y111" s="175"/>
      <c r="Z111" s="175"/>
      <c r="AA111" s="185"/>
      <c r="AB111" s="185"/>
      <c r="AC111" s="175"/>
      <c r="AD111" s="175"/>
      <c r="AE111" s="175"/>
      <c r="AF111" s="185"/>
      <c r="AG111" s="185"/>
      <c r="AH111" s="175"/>
      <c r="AI111" s="175"/>
      <c r="AJ111" s="175"/>
      <c r="AK111" s="185"/>
      <c r="AL111" s="185"/>
      <c r="AM111" s="175"/>
      <c r="AN111" s="175"/>
      <c r="AO111" s="175"/>
      <c r="AP111" s="185"/>
      <c r="AQ111" s="185"/>
      <c r="AR111" s="175"/>
      <c r="AS111" s="175"/>
      <c r="AT111" s="175"/>
      <c r="AU111" s="185"/>
      <c r="AV111" s="185"/>
      <c r="AW111" s="175"/>
      <c r="AX111" s="175"/>
      <c r="AY111" s="175"/>
      <c r="AZ111" s="185"/>
      <c r="BA111" s="185"/>
      <c r="BB111" s="167">
        <f>'Factor D Back Up'!D2017</f>
        <v>12</v>
      </c>
      <c r="BC111" s="167">
        <f>'Factor D Back Up'!E2017</f>
        <v>1.4950000000000001</v>
      </c>
      <c r="BD111" s="167">
        <f>'Factor D Back Up'!F2017</f>
        <v>17.940000000000001</v>
      </c>
      <c r="BE111" s="184">
        <f>'Factor D Back Up'!G2017</f>
        <v>2.6</v>
      </c>
      <c r="BF111" s="184">
        <f>'Factor D Back Up'!H2017</f>
        <v>46.644000000000005</v>
      </c>
      <c r="BG111" s="167">
        <f>'Factor D Back Up'!D2018</f>
        <v>20</v>
      </c>
      <c r="BH111" s="167">
        <f>'Factor D Back Up'!E2018</f>
        <v>1.4950000000000001</v>
      </c>
      <c r="BI111" s="167">
        <f>'Factor D Back Up'!F2018</f>
        <v>29.900000000000002</v>
      </c>
      <c r="BJ111" s="184">
        <f>'Factor D Back Up'!G2018</f>
        <v>2.6676000000000002</v>
      </c>
      <c r="BK111" s="184">
        <f>'Factor D Back Up'!H2018</f>
        <v>79.761240000000015</v>
      </c>
      <c r="BL111" s="167">
        <f>'Factor D Back Up'!D2019</f>
        <v>20</v>
      </c>
      <c r="BM111" s="167">
        <f>'Factor D Back Up'!E2019</f>
        <v>1.4950000000000001</v>
      </c>
      <c r="BN111" s="167">
        <f>'Factor D Back Up'!F2019</f>
        <v>29.900000000000002</v>
      </c>
      <c r="BO111" s="184">
        <f>'Factor D Back Up'!G2019</f>
        <v>2.7369576000000002</v>
      </c>
      <c r="BP111" s="184">
        <f>'Factor D Back Up'!H2019</f>
        <v>81.835032240000018</v>
      </c>
      <c r="BQ111" s="167">
        <f>'Factor D Back Up'!D2021</f>
        <v>32</v>
      </c>
      <c r="BR111" s="167">
        <f>'Factor D Back Up'!E2020</f>
        <v>1.4950000000000001</v>
      </c>
      <c r="BS111" s="167">
        <f>'Factor D Back Up'!F2020</f>
        <v>47.84</v>
      </c>
      <c r="BT111" s="184">
        <f>'Factor D Back Up'!G2020</f>
        <v>2.8081184976000002</v>
      </c>
      <c r="BU111" s="184">
        <f>'Factor D Back Up'!H2020</f>
        <v>134.34038892518402</v>
      </c>
      <c r="BV111" s="167">
        <f>'Factor D Back Up'!D2021</f>
        <v>32</v>
      </c>
      <c r="BW111" s="167">
        <f>'Factor D Back Up'!E2021</f>
        <v>1.4950000000000001</v>
      </c>
      <c r="BX111" s="167">
        <f>'Factor D Back Up'!F2021</f>
        <v>47.84</v>
      </c>
      <c r="BY111" s="184">
        <f>'Factor D Back Up'!G2021</f>
        <v>2.8811295785376001</v>
      </c>
      <c r="BZ111" s="184">
        <f>'Factor D Back Up'!H2021</f>
        <v>137.8332390372388</v>
      </c>
      <c r="CB111" s="187"/>
      <c r="CC111" s="238"/>
      <c r="CD111" s="281"/>
      <c r="CF111" s="576">
        <f t="shared" si="95"/>
        <v>480.41390020242284</v>
      </c>
    </row>
    <row r="112" spans="1:84" s="17" customFormat="1" ht="15" customHeight="1" x14ac:dyDescent="0.25">
      <c r="A112" s="162" t="s">
        <v>332</v>
      </c>
      <c r="B112" s="291"/>
      <c r="C112" s="339"/>
      <c r="D112" s="167">
        <v>0</v>
      </c>
      <c r="E112" s="167" t="e">
        <f t="shared" si="109"/>
        <v>#DIV/0!</v>
      </c>
      <c r="F112" s="167">
        <v>0</v>
      </c>
      <c r="G112" s="184" t="e">
        <f t="shared" si="121"/>
        <v>#DIV/0!</v>
      </c>
      <c r="H112" s="184">
        <v>0</v>
      </c>
      <c r="I112" s="167">
        <v>0</v>
      </c>
      <c r="J112" s="167" t="e">
        <f t="shared" si="111"/>
        <v>#DIV/0!</v>
      </c>
      <c r="K112" s="167">
        <v>0</v>
      </c>
      <c r="L112" s="184" t="e">
        <f t="shared" si="122"/>
        <v>#DIV/0!</v>
      </c>
      <c r="M112" s="184">
        <v>0</v>
      </c>
      <c r="N112" s="167">
        <v>0</v>
      </c>
      <c r="O112" s="167" t="e">
        <f t="shared" si="113"/>
        <v>#DIV/0!</v>
      </c>
      <c r="P112" s="167">
        <v>0</v>
      </c>
      <c r="Q112" s="184" t="e">
        <f t="shared" si="123"/>
        <v>#DIV/0!</v>
      </c>
      <c r="R112" s="184">
        <v>0</v>
      </c>
      <c r="S112" s="167">
        <v>40</v>
      </c>
      <c r="T112" s="167">
        <f t="shared" si="115"/>
        <v>63.2</v>
      </c>
      <c r="U112" s="167">
        <v>2528</v>
      </c>
      <c r="V112" s="184">
        <f t="shared" si="67"/>
        <v>11.247033227848101</v>
      </c>
      <c r="W112" s="184">
        <v>28432.5</v>
      </c>
      <c r="X112" s="167">
        <v>0</v>
      </c>
      <c r="Y112" s="167" t="e">
        <f t="shared" si="116"/>
        <v>#DIV/0!</v>
      </c>
      <c r="Z112" s="167">
        <v>0</v>
      </c>
      <c r="AA112" s="184" t="e">
        <f t="shared" ref="AA112:AA114" si="128">AB112/Z112</f>
        <v>#DIV/0!</v>
      </c>
      <c r="AB112" s="184">
        <v>0</v>
      </c>
      <c r="AC112" s="167">
        <v>0</v>
      </c>
      <c r="AD112" s="167" t="e">
        <f t="shared" ref="AD112:AD114" si="129">AE112/AC112</f>
        <v>#DIV/0!</v>
      </c>
      <c r="AE112" s="167">
        <v>0</v>
      </c>
      <c r="AF112" s="167" t="e">
        <f t="shared" ref="AF112:AF114" si="130">AG112/AE112</f>
        <v>#DIV/0!</v>
      </c>
      <c r="AG112" s="184">
        <v>0</v>
      </c>
      <c r="AH112" s="167">
        <v>0</v>
      </c>
      <c r="AI112" s="167" t="e">
        <f t="shared" si="102"/>
        <v>#DIV/0!</v>
      </c>
      <c r="AJ112" s="167">
        <v>0</v>
      </c>
      <c r="AK112" s="184" t="e">
        <f t="shared" ref="AK112:AK114" si="131">AL112/AJ112</f>
        <v>#DIV/0!</v>
      </c>
      <c r="AL112" s="184">
        <v>0</v>
      </c>
      <c r="AM112" s="167">
        <v>0</v>
      </c>
      <c r="AN112" s="167" t="e">
        <f t="shared" si="103"/>
        <v>#DIV/0!</v>
      </c>
      <c r="AO112" s="167">
        <v>0</v>
      </c>
      <c r="AP112" s="184" t="e">
        <f t="shared" si="104"/>
        <v>#DIV/0!</v>
      </c>
      <c r="AQ112" s="184">
        <v>0</v>
      </c>
      <c r="AR112" s="167">
        <v>0</v>
      </c>
      <c r="AS112" s="167" t="e">
        <f t="shared" si="105"/>
        <v>#DIV/0!</v>
      </c>
      <c r="AT112" s="167">
        <v>0</v>
      </c>
      <c r="AU112" s="184" t="e">
        <f t="shared" si="106"/>
        <v>#DIV/0!</v>
      </c>
      <c r="AV112" s="184">
        <v>0</v>
      </c>
      <c r="AW112" s="167">
        <v>0</v>
      </c>
      <c r="AX112" s="167" t="e">
        <f t="shared" si="126"/>
        <v>#DIV/0!</v>
      </c>
      <c r="AY112" s="167">
        <v>0</v>
      </c>
      <c r="AZ112" s="184" t="e">
        <f t="shared" si="127"/>
        <v>#DIV/0!</v>
      </c>
      <c r="BA112" s="184">
        <v>0</v>
      </c>
      <c r="BB112" s="175"/>
      <c r="BC112" s="175"/>
      <c r="BD112" s="175"/>
      <c r="BE112" s="185"/>
      <c r="BF112" s="185"/>
      <c r="BG112" s="175"/>
      <c r="BH112" s="175"/>
      <c r="BI112" s="175"/>
      <c r="BJ112" s="185"/>
      <c r="BK112" s="185"/>
      <c r="BL112" s="175"/>
      <c r="BM112" s="175"/>
      <c r="BN112" s="175"/>
      <c r="BO112" s="185"/>
      <c r="BP112" s="185"/>
      <c r="BQ112" s="175"/>
      <c r="BR112" s="175"/>
      <c r="BS112" s="175"/>
      <c r="BT112" s="185"/>
      <c r="BU112" s="185"/>
      <c r="BV112" s="175"/>
      <c r="BW112" s="175"/>
      <c r="BX112" s="175"/>
      <c r="BY112" s="185"/>
      <c r="BZ112" s="185"/>
      <c r="CB112" s="187">
        <f t="shared" si="107"/>
        <v>28432.5</v>
      </c>
      <c r="CC112" s="238"/>
      <c r="CD112" s="281">
        <f t="shared" si="108"/>
        <v>28432.5</v>
      </c>
      <c r="CF112" s="573">
        <f t="shared" si="95"/>
        <v>28432.5</v>
      </c>
    </row>
    <row r="113" spans="1:84" s="17" customFormat="1" ht="15" customHeight="1" x14ac:dyDescent="0.25">
      <c r="A113" s="162" t="s">
        <v>333</v>
      </c>
      <c r="B113" s="291"/>
      <c r="C113" s="339"/>
      <c r="D113" s="167">
        <v>0</v>
      </c>
      <c r="E113" s="167" t="e">
        <f t="shared" si="109"/>
        <v>#DIV/0!</v>
      </c>
      <c r="F113" s="167">
        <v>0</v>
      </c>
      <c r="G113" s="184" t="e">
        <f t="shared" si="121"/>
        <v>#DIV/0!</v>
      </c>
      <c r="H113" s="184">
        <v>0</v>
      </c>
      <c r="I113" s="167">
        <v>0</v>
      </c>
      <c r="J113" s="167" t="e">
        <f t="shared" si="111"/>
        <v>#DIV/0!</v>
      </c>
      <c r="K113" s="167">
        <v>0</v>
      </c>
      <c r="L113" s="184" t="e">
        <f t="shared" si="122"/>
        <v>#DIV/0!</v>
      </c>
      <c r="M113" s="184">
        <v>0</v>
      </c>
      <c r="N113" s="167">
        <v>0</v>
      </c>
      <c r="O113" s="167" t="e">
        <f t="shared" si="113"/>
        <v>#DIV/0!</v>
      </c>
      <c r="P113" s="167">
        <v>0</v>
      </c>
      <c r="Q113" s="184" t="e">
        <f t="shared" si="123"/>
        <v>#DIV/0!</v>
      </c>
      <c r="R113" s="184">
        <v>0</v>
      </c>
      <c r="S113" s="167">
        <v>1</v>
      </c>
      <c r="T113" s="167">
        <f t="shared" si="115"/>
        <v>24</v>
      </c>
      <c r="U113" s="167">
        <v>24</v>
      </c>
      <c r="V113" s="184">
        <f t="shared" si="67"/>
        <v>11.25</v>
      </c>
      <c r="W113" s="184">
        <v>270</v>
      </c>
      <c r="X113" s="167">
        <v>0</v>
      </c>
      <c r="Y113" s="167" t="e">
        <f t="shared" si="116"/>
        <v>#DIV/0!</v>
      </c>
      <c r="Z113" s="167">
        <v>0</v>
      </c>
      <c r="AA113" s="184" t="e">
        <f t="shared" si="128"/>
        <v>#DIV/0!</v>
      </c>
      <c r="AB113" s="184">
        <v>0</v>
      </c>
      <c r="AC113" s="167">
        <v>0</v>
      </c>
      <c r="AD113" s="167" t="e">
        <f t="shared" si="129"/>
        <v>#DIV/0!</v>
      </c>
      <c r="AE113" s="167">
        <v>0</v>
      </c>
      <c r="AF113" s="167" t="e">
        <f t="shared" si="130"/>
        <v>#DIV/0!</v>
      </c>
      <c r="AG113" s="184">
        <v>0</v>
      </c>
      <c r="AH113" s="167">
        <v>0</v>
      </c>
      <c r="AI113" s="167" t="e">
        <f t="shared" si="102"/>
        <v>#DIV/0!</v>
      </c>
      <c r="AJ113" s="167">
        <v>0</v>
      </c>
      <c r="AK113" s="184" t="e">
        <f t="shared" si="131"/>
        <v>#DIV/0!</v>
      </c>
      <c r="AL113" s="184">
        <v>0</v>
      </c>
      <c r="AM113" s="167">
        <v>0</v>
      </c>
      <c r="AN113" s="167" t="e">
        <f t="shared" si="103"/>
        <v>#DIV/0!</v>
      </c>
      <c r="AO113" s="167">
        <v>0</v>
      </c>
      <c r="AP113" s="184" t="e">
        <f t="shared" si="104"/>
        <v>#DIV/0!</v>
      </c>
      <c r="AQ113" s="184">
        <v>0</v>
      </c>
      <c r="AR113" s="167">
        <v>0</v>
      </c>
      <c r="AS113" s="167" t="e">
        <f t="shared" si="105"/>
        <v>#DIV/0!</v>
      </c>
      <c r="AT113" s="167">
        <v>0</v>
      </c>
      <c r="AU113" s="184" t="e">
        <f t="shared" si="106"/>
        <v>#DIV/0!</v>
      </c>
      <c r="AV113" s="184">
        <v>0</v>
      </c>
      <c r="AW113" s="167">
        <v>0</v>
      </c>
      <c r="AX113" s="167" t="e">
        <f t="shared" si="126"/>
        <v>#DIV/0!</v>
      </c>
      <c r="AY113" s="167">
        <v>0</v>
      </c>
      <c r="AZ113" s="184" t="e">
        <f t="shared" si="127"/>
        <v>#DIV/0!</v>
      </c>
      <c r="BA113" s="184">
        <v>0</v>
      </c>
      <c r="BB113" s="175"/>
      <c r="BC113" s="175"/>
      <c r="BD113" s="175"/>
      <c r="BE113" s="185"/>
      <c r="BF113" s="185"/>
      <c r="BG113" s="175"/>
      <c r="BH113" s="175"/>
      <c r="BI113" s="175"/>
      <c r="BJ113" s="185"/>
      <c r="BK113" s="185"/>
      <c r="BL113" s="175"/>
      <c r="BM113" s="175"/>
      <c r="BN113" s="175"/>
      <c r="BO113" s="185"/>
      <c r="BP113" s="185"/>
      <c r="BQ113" s="175"/>
      <c r="BR113" s="175"/>
      <c r="BS113" s="175"/>
      <c r="BT113" s="185"/>
      <c r="BU113" s="185"/>
      <c r="BV113" s="175"/>
      <c r="BW113" s="175"/>
      <c r="BX113" s="175"/>
      <c r="BY113" s="185"/>
      <c r="BZ113" s="185"/>
      <c r="CB113" s="187">
        <f t="shared" si="107"/>
        <v>270</v>
      </c>
      <c r="CC113" s="187"/>
      <c r="CD113" s="281">
        <f t="shared" si="108"/>
        <v>270</v>
      </c>
      <c r="CF113" s="576">
        <f t="shared" si="95"/>
        <v>270</v>
      </c>
    </row>
    <row r="114" spans="1:84" s="17" customFormat="1" ht="15" customHeight="1" x14ac:dyDescent="0.25">
      <c r="A114" s="162" t="s">
        <v>336</v>
      </c>
      <c r="B114" s="291"/>
      <c r="C114" s="339"/>
      <c r="D114" s="167">
        <v>0</v>
      </c>
      <c r="E114" s="167" t="e">
        <f t="shared" ref="E114" si="132">F114/D114</f>
        <v>#DIV/0!</v>
      </c>
      <c r="F114" s="167">
        <v>0</v>
      </c>
      <c r="G114" s="184" t="e">
        <f t="shared" ref="G114" si="133">H114/F114</f>
        <v>#DIV/0!</v>
      </c>
      <c r="H114" s="184">
        <v>0</v>
      </c>
      <c r="I114" s="167">
        <f>2+11</f>
        <v>13</v>
      </c>
      <c r="J114" s="167">
        <f>K114/I114</f>
        <v>20</v>
      </c>
      <c r="K114" s="167">
        <f>221+39</f>
        <v>260</v>
      </c>
      <c r="L114" s="184">
        <f>M114/K114</f>
        <v>27.306461538461541</v>
      </c>
      <c r="M114" s="184">
        <f>1287.38+5812.3</f>
        <v>7099.68</v>
      </c>
      <c r="N114" s="167">
        <f>5+10+16</f>
        <v>31</v>
      </c>
      <c r="O114" s="167">
        <f>P114/N114</f>
        <v>30.967741935483872</v>
      </c>
      <c r="P114" s="167">
        <f>63+401+496</f>
        <v>960</v>
      </c>
      <c r="Q114" s="184">
        <f>R114/P114</f>
        <v>29.714677083333335</v>
      </c>
      <c r="R114" s="184">
        <f>2031.75+13449.54+13044.8</f>
        <v>28526.09</v>
      </c>
      <c r="S114" s="167">
        <v>29</v>
      </c>
      <c r="T114" s="167">
        <f t="shared" si="115"/>
        <v>19.206896551724139</v>
      </c>
      <c r="U114" s="167">
        <v>557</v>
      </c>
      <c r="V114" s="184">
        <f t="shared" si="67"/>
        <v>27.152351885098746</v>
      </c>
      <c r="W114" s="184">
        <v>15123.86</v>
      </c>
      <c r="X114" s="167">
        <v>12</v>
      </c>
      <c r="Y114" s="167">
        <f t="shared" si="116"/>
        <v>28.333333333333332</v>
      </c>
      <c r="Z114" s="167">
        <v>340</v>
      </c>
      <c r="AA114" s="184">
        <f t="shared" si="128"/>
        <v>26.3</v>
      </c>
      <c r="AB114" s="184">
        <v>8942</v>
      </c>
      <c r="AC114" s="167">
        <v>6</v>
      </c>
      <c r="AD114" s="167">
        <f t="shared" si="129"/>
        <v>20</v>
      </c>
      <c r="AE114" s="167">
        <v>120</v>
      </c>
      <c r="AF114" s="167">
        <f t="shared" si="130"/>
        <v>26.3</v>
      </c>
      <c r="AG114" s="184">
        <v>3156</v>
      </c>
      <c r="AH114" s="167">
        <v>0</v>
      </c>
      <c r="AI114" s="167" t="e">
        <f t="shared" si="102"/>
        <v>#DIV/0!</v>
      </c>
      <c r="AJ114" s="167">
        <v>0</v>
      </c>
      <c r="AK114" s="184" t="e">
        <f t="shared" si="131"/>
        <v>#DIV/0!</v>
      </c>
      <c r="AL114" s="184">
        <v>0</v>
      </c>
      <c r="AM114" s="167">
        <v>0</v>
      </c>
      <c r="AN114" s="167" t="e">
        <f t="shared" si="103"/>
        <v>#DIV/0!</v>
      </c>
      <c r="AO114" s="167">
        <v>0</v>
      </c>
      <c r="AP114" s="184" t="e">
        <f t="shared" si="104"/>
        <v>#DIV/0!</v>
      </c>
      <c r="AQ114" s="184">
        <v>0</v>
      </c>
      <c r="AR114" s="167">
        <v>0</v>
      </c>
      <c r="AS114" s="167" t="e">
        <f t="shared" si="105"/>
        <v>#DIV/0!</v>
      </c>
      <c r="AT114" s="167">
        <v>0</v>
      </c>
      <c r="AU114" s="184" t="e">
        <f t="shared" si="106"/>
        <v>#DIV/0!</v>
      </c>
      <c r="AV114" s="184">
        <v>0</v>
      </c>
      <c r="AW114" s="167">
        <v>0</v>
      </c>
      <c r="AX114" s="167" t="e">
        <f t="shared" si="126"/>
        <v>#DIV/0!</v>
      </c>
      <c r="AY114" s="167">
        <v>0</v>
      </c>
      <c r="AZ114" s="184" t="e">
        <f t="shared" si="127"/>
        <v>#DIV/0!</v>
      </c>
      <c r="BA114" s="184">
        <v>0</v>
      </c>
      <c r="BB114" s="175"/>
      <c r="BC114" s="175"/>
      <c r="BD114" s="175"/>
      <c r="BE114" s="185"/>
      <c r="BF114" s="185"/>
      <c r="BG114" s="175"/>
      <c r="BH114" s="175"/>
      <c r="BI114" s="175"/>
      <c r="BJ114" s="185"/>
      <c r="BK114" s="185"/>
      <c r="BL114" s="175"/>
      <c r="BM114" s="175"/>
      <c r="BN114" s="175"/>
      <c r="BO114" s="185"/>
      <c r="BP114" s="185"/>
      <c r="BQ114" s="175"/>
      <c r="BR114" s="175"/>
      <c r="BS114" s="175"/>
      <c r="BT114" s="185"/>
      <c r="BU114" s="185"/>
      <c r="BV114" s="175"/>
      <c r="BW114" s="175"/>
      <c r="BX114" s="175"/>
      <c r="BY114" s="185"/>
      <c r="BZ114" s="185"/>
      <c r="CB114" s="187">
        <f t="shared" si="107"/>
        <v>27221.86</v>
      </c>
      <c r="CC114" s="187">
        <f>+'linked - DO NOT USE or DELETE'!H12+'linked - DO NOT USE or DELETE'!H13+'linked - DO NOT USE or DELETE'!H14+'linked - DO NOT USE or DELETE'!M12+'linked - DO NOT USE or DELETE'!M13+'linked - DO NOT USE or DELETE'!M14+'linked - DO NOT USE or DELETE'!R12+'linked - DO NOT USE or DELETE'!R13+'linked - DO NOT USE or DELETE'!R14</f>
        <v>35625.770000000004</v>
      </c>
      <c r="CD114" s="281">
        <f t="shared" si="108"/>
        <v>62847.630000000005</v>
      </c>
      <c r="CF114" s="573">
        <f t="shared" si="95"/>
        <v>62847.630000000005</v>
      </c>
    </row>
    <row r="115" spans="1:84" x14ac:dyDescent="0.25">
      <c r="A115" s="624" t="s">
        <v>160</v>
      </c>
      <c r="B115" s="625"/>
      <c r="C115" s="626"/>
      <c r="D115" s="627"/>
      <c r="E115" s="628"/>
      <c r="F115" s="628"/>
      <c r="G115" s="629"/>
      <c r="H115" s="236">
        <f>SUM(H4:H114)</f>
        <v>88765796.279999986</v>
      </c>
      <c r="I115" s="627"/>
      <c r="J115" s="628"/>
      <c r="K115" s="628"/>
      <c r="L115" s="629"/>
      <c r="M115" s="236">
        <f>SUM(M4:M114)</f>
        <v>111428789.97999999</v>
      </c>
      <c r="N115" s="627"/>
      <c r="O115" s="628"/>
      <c r="P115" s="628"/>
      <c r="Q115" s="629"/>
      <c r="R115" s="236">
        <f>SUM(R4:R114)</f>
        <v>137659311.35999998</v>
      </c>
      <c r="S115" s="636"/>
      <c r="T115" s="637"/>
      <c r="U115" s="637"/>
      <c r="V115" s="638"/>
      <c r="W115" s="236">
        <f>SUM(W4:W114)</f>
        <v>139103373.50000003</v>
      </c>
      <c r="X115" s="636"/>
      <c r="Y115" s="637"/>
      <c r="Z115" s="637"/>
      <c r="AA115" s="638"/>
      <c r="AB115" s="236">
        <f>SUM(AB4:AB114)</f>
        <v>148479262.78</v>
      </c>
      <c r="AC115" s="636"/>
      <c r="AD115" s="637"/>
      <c r="AE115" s="637"/>
      <c r="AF115" s="638"/>
      <c r="AG115" s="236">
        <f>SUM(AG4:AG114)</f>
        <v>150811228.45000002</v>
      </c>
      <c r="AH115" s="636"/>
      <c r="AI115" s="637"/>
      <c r="AJ115" s="637"/>
      <c r="AK115" s="638"/>
      <c r="AL115" s="236">
        <f>SUM(AL4:AL114)</f>
        <v>167817688.88999996</v>
      </c>
      <c r="AM115" s="636"/>
      <c r="AN115" s="637"/>
      <c r="AO115" s="637"/>
      <c r="AP115" s="638"/>
      <c r="AQ115" s="236">
        <f>SUM(AQ4:AQ114)</f>
        <v>191672680.75</v>
      </c>
      <c r="AR115" s="636"/>
      <c r="AS115" s="637"/>
      <c r="AT115" s="637"/>
      <c r="AU115" s="638"/>
      <c r="AV115" s="236">
        <f>SUM(AV4:AV114)</f>
        <v>206910433.76000002</v>
      </c>
      <c r="AW115" s="636"/>
      <c r="AX115" s="637"/>
      <c r="AY115" s="637"/>
      <c r="AZ115" s="638"/>
      <c r="BA115" s="186">
        <f>SUM(BA4:BA114)</f>
        <v>188469719.65274209</v>
      </c>
      <c r="BB115" s="636"/>
      <c r="BC115" s="637"/>
      <c r="BD115" s="637"/>
      <c r="BE115" s="638"/>
      <c r="BF115" s="186">
        <f>SUM(BF4:BF114)</f>
        <v>193431438.88725543</v>
      </c>
      <c r="BG115" s="636"/>
      <c r="BH115" s="637"/>
      <c r="BI115" s="637"/>
      <c r="BJ115" s="638"/>
      <c r="BK115" s="186">
        <f>SUM(BK4:BK114)</f>
        <v>208492752.35488907</v>
      </c>
      <c r="BL115" s="636"/>
      <c r="BM115" s="637"/>
      <c r="BN115" s="637"/>
      <c r="BO115" s="638"/>
      <c r="BP115" s="186">
        <f>SUM(BP4:BP114)</f>
        <v>218728704.67047176</v>
      </c>
      <c r="BQ115" s="636"/>
      <c r="BR115" s="637"/>
      <c r="BS115" s="637"/>
      <c r="BT115" s="638"/>
      <c r="BU115" s="186">
        <f>SUM(BU4:BU114)</f>
        <v>230891239.07608861</v>
      </c>
      <c r="BV115" s="636"/>
      <c r="BW115" s="637"/>
      <c r="BX115" s="637"/>
      <c r="BY115" s="638"/>
      <c r="BZ115" s="186">
        <f>SUM(BZ4:BZ114)</f>
        <v>245662414.23801592</v>
      </c>
      <c r="CB115" s="187"/>
      <c r="CC115" s="187">
        <f>SUM(CC4:CC114)</f>
        <v>337853897.62</v>
      </c>
      <c r="CD115" s="187"/>
      <c r="CF115" s="574">
        <f>SUM(CF4:CF114)</f>
        <v>2628324834.6294627</v>
      </c>
    </row>
    <row r="116" spans="1:84" x14ac:dyDescent="0.25">
      <c r="A116" s="645" t="s">
        <v>161</v>
      </c>
      <c r="B116" s="646"/>
      <c r="C116" s="647"/>
      <c r="D116" s="630"/>
      <c r="E116" s="631"/>
      <c r="F116" s="631"/>
      <c r="G116" s="632"/>
      <c r="H116" s="241">
        <f>'Non Factor D Back Up'!B5</f>
        <v>1182</v>
      </c>
      <c r="I116" s="630"/>
      <c r="J116" s="631"/>
      <c r="K116" s="631"/>
      <c r="L116" s="632"/>
      <c r="M116" s="241">
        <f>'Non Factor D Back Up'!C5</f>
        <v>1288</v>
      </c>
      <c r="N116" s="630"/>
      <c r="O116" s="631"/>
      <c r="P116" s="631"/>
      <c r="Q116" s="632"/>
      <c r="R116" s="241">
        <f>'Non Factor D Back Up'!D5</f>
        <v>1495</v>
      </c>
      <c r="S116" s="639"/>
      <c r="T116" s="640"/>
      <c r="U116" s="640"/>
      <c r="V116" s="641"/>
      <c r="W116" s="241">
        <v>1484</v>
      </c>
      <c r="X116" s="639"/>
      <c r="Y116" s="640"/>
      <c r="Z116" s="640"/>
      <c r="AA116" s="641"/>
      <c r="AB116" s="241">
        <v>1528</v>
      </c>
      <c r="AC116" s="639"/>
      <c r="AD116" s="640"/>
      <c r="AE116" s="640"/>
      <c r="AF116" s="641"/>
      <c r="AG116" s="241">
        <v>1592</v>
      </c>
      <c r="AH116" s="639"/>
      <c r="AI116" s="640"/>
      <c r="AJ116" s="640"/>
      <c r="AK116" s="641"/>
      <c r="AL116" s="241">
        <v>1642</v>
      </c>
      <c r="AM116" s="639"/>
      <c r="AN116" s="640"/>
      <c r="AO116" s="640"/>
      <c r="AP116" s="641"/>
      <c r="AQ116" s="241">
        <v>1675</v>
      </c>
      <c r="AR116" s="639"/>
      <c r="AS116" s="640"/>
      <c r="AT116" s="640"/>
      <c r="AU116" s="641"/>
      <c r="AV116" s="241">
        <v>1739</v>
      </c>
      <c r="AW116" s="639"/>
      <c r="AX116" s="640"/>
      <c r="AY116" s="640"/>
      <c r="AZ116" s="641"/>
      <c r="BA116" s="240">
        <f>'Non Factor D Back Up'!K5</f>
        <v>1752</v>
      </c>
      <c r="BB116" s="639"/>
      <c r="BC116" s="640"/>
      <c r="BD116" s="640"/>
      <c r="BE116" s="641"/>
      <c r="BF116" s="240">
        <f>'Non Factor D Back Up'!L5</f>
        <v>1822</v>
      </c>
      <c r="BG116" s="639"/>
      <c r="BH116" s="640"/>
      <c r="BI116" s="640"/>
      <c r="BJ116" s="641"/>
      <c r="BK116" s="240">
        <f>'Non Factor D Back Up'!M5</f>
        <v>1872</v>
      </c>
      <c r="BL116" s="639"/>
      <c r="BM116" s="640"/>
      <c r="BN116" s="640"/>
      <c r="BO116" s="641"/>
      <c r="BP116" s="240">
        <f>'Non Factor D Back Up'!N5</f>
        <v>1902</v>
      </c>
      <c r="BQ116" s="639"/>
      <c r="BR116" s="640"/>
      <c r="BS116" s="640"/>
      <c r="BT116" s="641"/>
      <c r="BU116" s="240">
        <f>'Non Factor D Back Up'!O5</f>
        <v>1932</v>
      </c>
      <c r="BV116" s="639"/>
      <c r="BW116" s="640"/>
      <c r="BX116" s="640"/>
      <c r="BY116" s="641"/>
      <c r="BZ116" s="240">
        <f>'Non Factor D Back Up'!P5</f>
        <v>1962</v>
      </c>
    </row>
    <row r="117" spans="1:84" x14ac:dyDescent="0.25">
      <c r="A117" s="645" t="s">
        <v>162</v>
      </c>
      <c r="B117" s="646"/>
      <c r="C117" s="647"/>
      <c r="D117" s="630"/>
      <c r="E117" s="631"/>
      <c r="F117" s="631"/>
      <c r="G117" s="632"/>
      <c r="H117" s="236">
        <f>H115/H116</f>
        <v>75097.966395939075</v>
      </c>
      <c r="I117" s="630"/>
      <c r="J117" s="631"/>
      <c r="K117" s="631"/>
      <c r="L117" s="632"/>
      <c r="M117" s="236">
        <f>M115/M116</f>
        <v>86513.035698757754</v>
      </c>
      <c r="N117" s="630"/>
      <c r="O117" s="631"/>
      <c r="P117" s="631"/>
      <c r="Q117" s="632"/>
      <c r="R117" s="236">
        <f>R115/R116</f>
        <v>92079.80692976588</v>
      </c>
      <c r="S117" s="639"/>
      <c r="T117" s="640"/>
      <c r="U117" s="640"/>
      <c r="V117" s="641"/>
      <c r="W117" s="236">
        <f>W115/W116</f>
        <v>93735.426886792469</v>
      </c>
      <c r="X117" s="639"/>
      <c r="Y117" s="640"/>
      <c r="Z117" s="640"/>
      <c r="AA117" s="641"/>
      <c r="AB117" s="236">
        <f>AB115/AB116</f>
        <v>97172.292395287965</v>
      </c>
      <c r="AC117" s="639"/>
      <c r="AD117" s="640"/>
      <c r="AE117" s="640"/>
      <c r="AF117" s="641"/>
      <c r="AG117" s="236">
        <f>AG115/AG116</f>
        <v>94730.671136934689</v>
      </c>
      <c r="AH117" s="639"/>
      <c r="AI117" s="640"/>
      <c r="AJ117" s="640"/>
      <c r="AK117" s="641"/>
      <c r="AL117" s="236">
        <f>AL115/AL116</f>
        <v>102203.22100487207</v>
      </c>
      <c r="AM117" s="639"/>
      <c r="AN117" s="640"/>
      <c r="AO117" s="640"/>
      <c r="AP117" s="641"/>
      <c r="AQ117" s="236">
        <f>AQ115/AQ116</f>
        <v>114431.45119402985</v>
      </c>
      <c r="AR117" s="639"/>
      <c r="AS117" s="640"/>
      <c r="AT117" s="640"/>
      <c r="AU117" s="641"/>
      <c r="AV117" s="236">
        <f>AV115/AV116</f>
        <v>118982.42309373204</v>
      </c>
      <c r="AW117" s="639"/>
      <c r="AX117" s="640"/>
      <c r="AY117" s="640"/>
      <c r="AZ117" s="641"/>
      <c r="BA117" s="186">
        <f>BA115/BA116</f>
        <v>107574.04089768384</v>
      </c>
      <c r="BB117" s="639"/>
      <c r="BC117" s="640"/>
      <c r="BD117" s="640"/>
      <c r="BE117" s="641"/>
      <c r="BF117" s="186">
        <f>BF115/BF116</f>
        <v>106164.34626084272</v>
      </c>
      <c r="BG117" s="639"/>
      <c r="BH117" s="640"/>
      <c r="BI117" s="640"/>
      <c r="BJ117" s="641"/>
      <c r="BK117" s="186">
        <f>BK115/BK116</f>
        <v>111374.33352291082</v>
      </c>
      <c r="BL117" s="639"/>
      <c r="BM117" s="640"/>
      <c r="BN117" s="640"/>
      <c r="BO117" s="641"/>
      <c r="BP117" s="186">
        <f>BP115/BP116</f>
        <v>114999.3189644962</v>
      </c>
      <c r="BQ117" s="639"/>
      <c r="BR117" s="640"/>
      <c r="BS117" s="640"/>
      <c r="BT117" s="641"/>
      <c r="BU117" s="186">
        <f>BU115/BU116</f>
        <v>119508.92291723013</v>
      </c>
      <c r="BV117" s="639"/>
      <c r="BW117" s="640"/>
      <c r="BX117" s="640"/>
      <c r="BY117" s="641"/>
      <c r="BZ117" s="186">
        <f>BZ115/BZ116</f>
        <v>125210.2009368073</v>
      </c>
    </row>
    <row r="118" spans="1:84" x14ac:dyDescent="0.25">
      <c r="A118" s="645" t="s">
        <v>164</v>
      </c>
      <c r="B118" s="646"/>
      <c r="C118" s="647"/>
      <c r="D118" s="630"/>
      <c r="E118" s="631"/>
      <c r="F118" s="631"/>
      <c r="G118" s="632"/>
      <c r="H118" s="242">
        <f>'Non Factor D Back Up'!B6</f>
        <v>346510</v>
      </c>
      <c r="I118" s="630"/>
      <c r="J118" s="631"/>
      <c r="K118" s="631"/>
      <c r="L118" s="632"/>
      <c r="M118" s="241">
        <f>'Non Factor D Back Up'!C6</f>
        <v>407368</v>
      </c>
      <c r="N118" s="630"/>
      <c r="O118" s="631"/>
      <c r="P118" s="631"/>
      <c r="Q118" s="632"/>
      <c r="R118" s="241">
        <f>'Non Factor D Back Up'!D6</f>
        <v>476960</v>
      </c>
      <c r="S118" s="639"/>
      <c r="T118" s="640"/>
      <c r="U118" s="640"/>
      <c r="V118" s="641"/>
      <c r="W118" s="242">
        <v>513419</v>
      </c>
      <c r="X118" s="639"/>
      <c r="Y118" s="640"/>
      <c r="Z118" s="640"/>
      <c r="AA118" s="641"/>
      <c r="AB118" s="244">
        <v>512212</v>
      </c>
      <c r="AC118" s="639"/>
      <c r="AD118" s="640"/>
      <c r="AE118" s="640"/>
      <c r="AF118" s="641"/>
      <c r="AG118" s="244">
        <v>576322</v>
      </c>
      <c r="AH118" s="639"/>
      <c r="AI118" s="640"/>
      <c r="AJ118" s="640"/>
      <c r="AK118" s="641"/>
      <c r="AL118" s="244">
        <v>592806</v>
      </c>
      <c r="AM118" s="639"/>
      <c r="AN118" s="640"/>
      <c r="AO118" s="640"/>
      <c r="AP118" s="641"/>
      <c r="AQ118" s="244">
        <v>580688</v>
      </c>
      <c r="AR118" s="639"/>
      <c r="AS118" s="640"/>
      <c r="AT118" s="640"/>
      <c r="AU118" s="641"/>
      <c r="AV118" s="244">
        <v>594161</v>
      </c>
      <c r="AW118" s="639"/>
      <c r="AX118" s="640"/>
      <c r="AY118" s="640"/>
      <c r="AZ118" s="641"/>
      <c r="BA118" s="237">
        <f>'Non Factor D Back Up'!K6</f>
        <v>630997.87564074434</v>
      </c>
      <c r="BB118" s="639"/>
      <c r="BC118" s="640"/>
      <c r="BD118" s="640"/>
      <c r="BE118" s="641"/>
      <c r="BF118" s="237">
        <f>'Non Factor D Back Up'!L6</f>
        <v>665030</v>
      </c>
      <c r="BG118" s="639"/>
      <c r="BH118" s="640"/>
      <c r="BI118" s="640"/>
      <c r="BJ118" s="641"/>
      <c r="BK118" s="237">
        <f>'Non Factor D Back Up'!M6</f>
        <v>683280</v>
      </c>
      <c r="BL118" s="639"/>
      <c r="BM118" s="640"/>
      <c r="BN118" s="640"/>
      <c r="BO118" s="641"/>
      <c r="BP118" s="237">
        <f>'Non Factor D Back Up'!N6</f>
        <v>694230</v>
      </c>
      <c r="BQ118" s="639"/>
      <c r="BR118" s="640"/>
      <c r="BS118" s="640"/>
      <c r="BT118" s="641"/>
      <c r="BU118" s="237">
        <f>'Non Factor D Back Up'!O6</f>
        <v>705180</v>
      </c>
      <c r="BV118" s="639"/>
      <c r="BW118" s="640"/>
      <c r="BX118" s="640"/>
      <c r="BY118" s="641"/>
      <c r="BZ118" s="237">
        <f>'Non Factor D Back Up'!P6</f>
        <v>716130</v>
      </c>
    </row>
    <row r="119" spans="1:84" x14ac:dyDescent="0.25">
      <c r="A119" s="645" t="s">
        <v>163</v>
      </c>
      <c r="B119" s="646"/>
      <c r="C119" s="647"/>
      <c r="D119" s="630"/>
      <c r="E119" s="631"/>
      <c r="F119" s="631"/>
      <c r="G119" s="632"/>
      <c r="H119" s="243">
        <f>H118/H116</f>
        <v>293.15566835871402</v>
      </c>
      <c r="I119" s="630"/>
      <c r="J119" s="631"/>
      <c r="K119" s="631"/>
      <c r="L119" s="632"/>
      <c r="M119" s="241">
        <f>'Non Factor D Back Up'!C7</f>
        <v>316.27950310559004</v>
      </c>
      <c r="N119" s="630"/>
      <c r="O119" s="631"/>
      <c r="P119" s="631"/>
      <c r="Q119" s="632"/>
      <c r="R119" s="241">
        <f>'Non Factor D Back Up'!D7</f>
        <v>319.03678929765886</v>
      </c>
      <c r="S119" s="639"/>
      <c r="T119" s="640"/>
      <c r="U119" s="640"/>
      <c r="V119" s="641"/>
      <c r="W119" s="243">
        <f>W118/W116</f>
        <v>345.96967654986526</v>
      </c>
      <c r="X119" s="639"/>
      <c r="Y119" s="640"/>
      <c r="Z119" s="640"/>
      <c r="AA119" s="641"/>
      <c r="AB119" s="245">
        <f>AB118/AB116</f>
        <v>335.21727748691097</v>
      </c>
      <c r="AC119" s="639"/>
      <c r="AD119" s="640"/>
      <c r="AE119" s="640"/>
      <c r="AF119" s="641"/>
      <c r="AG119" s="245">
        <f>AG118/AG116</f>
        <v>362.0113065326633</v>
      </c>
      <c r="AH119" s="639"/>
      <c r="AI119" s="640"/>
      <c r="AJ119" s="640"/>
      <c r="AK119" s="641"/>
      <c r="AL119" s="245">
        <f>AL118/AL116</f>
        <v>361.02679658952496</v>
      </c>
      <c r="AM119" s="639"/>
      <c r="AN119" s="640"/>
      <c r="AO119" s="640"/>
      <c r="AP119" s="641"/>
      <c r="AQ119" s="245">
        <f>AQ118/AQ116</f>
        <v>346.6794029850746</v>
      </c>
      <c r="AR119" s="639"/>
      <c r="AS119" s="640"/>
      <c r="AT119" s="640"/>
      <c r="AU119" s="641"/>
      <c r="AV119" s="245">
        <f>AV118/AV116</f>
        <v>341.66820011500863</v>
      </c>
      <c r="AW119" s="639"/>
      <c r="AX119" s="640"/>
      <c r="AY119" s="640"/>
      <c r="AZ119" s="641"/>
      <c r="BA119" s="167">
        <f>'Non Factor D Back Up'!K7</f>
        <v>360.15860481777645</v>
      </c>
      <c r="BB119" s="639"/>
      <c r="BC119" s="640"/>
      <c r="BD119" s="640"/>
      <c r="BE119" s="641"/>
      <c r="BF119" s="167">
        <f>'Non Factor D Back Up'!L7</f>
        <v>365</v>
      </c>
      <c r="BG119" s="639"/>
      <c r="BH119" s="640"/>
      <c r="BI119" s="640"/>
      <c r="BJ119" s="641"/>
      <c r="BK119" s="167">
        <f>'Non Factor D Back Up'!M7</f>
        <v>365</v>
      </c>
      <c r="BL119" s="639"/>
      <c r="BM119" s="640"/>
      <c r="BN119" s="640"/>
      <c r="BO119" s="641"/>
      <c r="BP119" s="167">
        <f>'Non Factor D Back Up'!N7</f>
        <v>365</v>
      </c>
      <c r="BQ119" s="639"/>
      <c r="BR119" s="640"/>
      <c r="BS119" s="640"/>
      <c r="BT119" s="641"/>
      <c r="BU119" s="167">
        <f>'Non Factor D Back Up'!O7</f>
        <v>365</v>
      </c>
      <c r="BV119" s="639"/>
      <c r="BW119" s="640"/>
      <c r="BX119" s="640"/>
      <c r="BY119" s="641"/>
      <c r="BZ119" s="167">
        <f>'Non Factor D Back Up'!P7</f>
        <v>365</v>
      </c>
    </row>
    <row r="120" spans="1:84" x14ac:dyDescent="0.25">
      <c r="A120" s="645" t="s">
        <v>168</v>
      </c>
      <c r="B120" s="646"/>
      <c r="C120" s="647"/>
      <c r="D120" s="630"/>
      <c r="E120" s="631"/>
      <c r="F120" s="631"/>
      <c r="G120" s="632"/>
      <c r="H120" s="236">
        <f>'Non Factor D Back Up'!B8</f>
        <v>30020</v>
      </c>
      <c r="I120" s="630"/>
      <c r="J120" s="631"/>
      <c r="K120" s="631"/>
      <c r="L120" s="632"/>
      <c r="M120" s="236">
        <f>'Non Factor D Back Up'!C8</f>
        <v>29768.98</v>
      </c>
      <c r="N120" s="630"/>
      <c r="O120" s="631"/>
      <c r="P120" s="631"/>
      <c r="Q120" s="632"/>
      <c r="R120" s="236">
        <f>'Non Factor D Back Up'!D8</f>
        <v>25589.66</v>
      </c>
      <c r="S120" s="639"/>
      <c r="T120" s="640"/>
      <c r="U120" s="640"/>
      <c r="V120" s="641"/>
      <c r="W120" s="236">
        <v>26087.119999999999</v>
      </c>
      <c r="X120" s="639"/>
      <c r="Y120" s="640"/>
      <c r="Z120" s="640"/>
      <c r="AA120" s="641"/>
      <c r="AB120" s="246">
        <v>21905.46</v>
      </c>
      <c r="AC120" s="639"/>
      <c r="AD120" s="640"/>
      <c r="AE120" s="640"/>
      <c r="AF120" s="641"/>
      <c r="AG120" s="246">
        <v>23745.06</v>
      </c>
      <c r="AH120" s="639"/>
      <c r="AI120" s="640"/>
      <c r="AJ120" s="640"/>
      <c r="AK120" s="641"/>
      <c r="AL120" s="246">
        <v>11883.19</v>
      </c>
      <c r="AM120" s="639"/>
      <c r="AN120" s="640"/>
      <c r="AO120" s="640"/>
      <c r="AP120" s="641"/>
      <c r="AQ120" s="246">
        <v>10967.65</v>
      </c>
      <c r="AR120" s="639"/>
      <c r="AS120" s="640"/>
      <c r="AT120" s="640"/>
      <c r="AU120" s="641"/>
      <c r="AV120" s="246">
        <v>10510.96</v>
      </c>
      <c r="AW120" s="639"/>
      <c r="AX120" s="640"/>
      <c r="AY120" s="640"/>
      <c r="AZ120" s="641"/>
      <c r="BA120" s="184">
        <f>'Non Factor D Back Up'!K8</f>
        <v>10794.755919999998</v>
      </c>
      <c r="BB120" s="639"/>
      <c r="BC120" s="640"/>
      <c r="BD120" s="640"/>
      <c r="BE120" s="641"/>
      <c r="BF120" s="186">
        <f>'Non Factor D Back Up'!L8</f>
        <v>11086.214329839997</v>
      </c>
      <c r="BG120" s="639"/>
      <c r="BH120" s="640"/>
      <c r="BI120" s="640"/>
      <c r="BJ120" s="641"/>
      <c r="BK120" s="186">
        <f>'Non Factor D Back Up'!M8</f>
        <v>11385.542116745675</v>
      </c>
      <c r="BL120" s="639"/>
      <c r="BM120" s="640"/>
      <c r="BN120" s="640"/>
      <c r="BO120" s="641"/>
      <c r="BP120" s="186">
        <f>'Non Factor D Back Up'!N8</f>
        <v>11692.951753897807</v>
      </c>
      <c r="BQ120" s="639"/>
      <c r="BR120" s="640"/>
      <c r="BS120" s="640"/>
      <c r="BT120" s="641"/>
      <c r="BU120" s="186">
        <f>'Non Factor D Back Up'!O8</f>
        <v>12008.661451253047</v>
      </c>
      <c r="BV120" s="639"/>
      <c r="BW120" s="640"/>
      <c r="BX120" s="640"/>
      <c r="BY120" s="641"/>
      <c r="BZ120" s="186">
        <f>'Non Factor D Back Up'!P8</f>
        <v>12332.895310436877</v>
      </c>
    </row>
    <row r="121" spans="1:84" x14ac:dyDescent="0.25">
      <c r="A121" s="645" t="s">
        <v>169</v>
      </c>
      <c r="B121" s="646"/>
      <c r="C121" s="647"/>
      <c r="D121" s="630"/>
      <c r="E121" s="631"/>
      <c r="F121" s="631"/>
      <c r="G121" s="632"/>
      <c r="H121" s="236">
        <f>'Non Factor D Back Up'!B9</f>
        <v>115181.02</v>
      </c>
      <c r="I121" s="630"/>
      <c r="J121" s="631"/>
      <c r="K121" s="631"/>
      <c r="L121" s="632"/>
      <c r="M121" s="236">
        <f>'Non Factor D Back Up'!C9</f>
        <v>133363.43</v>
      </c>
      <c r="N121" s="630"/>
      <c r="O121" s="631"/>
      <c r="P121" s="631"/>
      <c r="Q121" s="632"/>
      <c r="R121" s="236">
        <f>'Non Factor D Back Up'!D9</f>
        <v>10885.76</v>
      </c>
      <c r="S121" s="639"/>
      <c r="T121" s="640"/>
      <c r="U121" s="640"/>
      <c r="V121" s="641"/>
      <c r="W121" s="236">
        <v>142178.81</v>
      </c>
      <c r="X121" s="639"/>
      <c r="Y121" s="640"/>
      <c r="Z121" s="640"/>
      <c r="AA121" s="641"/>
      <c r="AB121" s="246">
        <v>150571.22</v>
      </c>
      <c r="AC121" s="639"/>
      <c r="AD121" s="640"/>
      <c r="AE121" s="640"/>
      <c r="AF121" s="641"/>
      <c r="AG121" s="246">
        <v>241743.79</v>
      </c>
      <c r="AH121" s="639"/>
      <c r="AI121" s="640"/>
      <c r="AJ121" s="640"/>
      <c r="AK121" s="641"/>
      <c r="AL121" s="246">
        <v>278047.31</v>
      </c>
      <c r="AM121" s="639"/>
      <c r="AN121" s="640"/>
      <c r="AO121" s="640"/>
      <c r="AP121" s="641"/>
      <c r="AQ121" s="246">
        <v>272519.90999999997</v>
      </c>
      <c r="AR121" s="639"/>
      <c r="AS121" s="640"/>
      <c r="AT121" s="640"/>
      <c r="AU121" s="641"/>
      <c r="AV121" s="246">
        <v>272965.86</v>
      </c>
      <c r="AW121" s="639"/>
      <c r="AX121" s="640"/>
      <c r="AY121" s="640"/>
      <c r="AZ121" s="641"/>
      <c r="BA121" s="184">
        <f>'Non Factor D Back Up'!K9</f>
        <v>288353.92000000004</v>
      </c>
      <c r="BB121" s="639"/>
      <c r="BC121" s="640"/>
      <c r="BD121" s="640"/>
      <c r="BE121" s="641"/>
      <c r="BF121" s="186">
        <f>'Non Factor D Back Up'!L9</f>
        <v>297167.80099999998</v>
      </c>
      <c r="BG121" s="639"/>
      <c r="BH121" s="640"/>
      <c r="BI121" s="640"/>
      <c r="BJ121" s="641"/>
      <c r="BK121" s="186">
        <f>'Non Factor D Back Up'!M9</f>
        <v>305981.68199999997</v>
      </c>
      <c r="BL121" s="639"/>
      <c r="BM121" s="640"/>
      <c r="BN121" s="640"/>
      <c r="BO121" s="641"/>
      <c r="BP121" s="186">
        <f>'Non Factor D Back Up'!M9</f>
        <v>305981.68199999997</v>
      </c>
      <c r="BQ121" s="639"/>
      <c r="BR121" s="640"/>
      <c r="BS121" s="640"/>
      <c r="BT121" s="641"/>
      <c r="BU121" s="186">
        <f>'Non Factor D Back Up'!O9</f>
        <v>323609.44399999996</v>
      </c>
      <c r="BV121" s="639"/>
      <c r="BW121" s="640"/>
      <c r="BX121" s="640"/>
      <c r="BY121" s="641"/>
      <c r="BZ121" s="186">
        <f>'Non Factor D Back Up'!P9</f>
        <v>332423.32499999995</v>
      </c>
    </row>
    <row r="122" spans="1:84" x14ac:dyDescent="0.25">
      <c r="A122" s="645" t="s">
        <v>170</v>
      </c>
      <c r="B122" s="646"/>
      <c r="C122" s="647"/>
      <c r="D122" s="633"/>
      <c r="E122" s="634"/>
      <c r="F122" s="634"/>
      <c r="G122" s="635"/>
      <c r="H122" s="236">
        <f>'Non Factor D Back Up'!B10</f>
        <v>46844.959999999999</v>
      </c>
      <c r="I122" s="633"/>
      <c r="J122" s="634"/>
      <c r="K122" s="634"/>
      <c r="L122" s="635"/>
      <c r="M122" s="236">
        <f>'Non Factor D Back Up'!C10</f>
        <v>38281.78</v>
      </c>
      <c r="N122" s="633"/>
      <c r="O122" s="634"/>
      <c r="P122" s="634"/>
      <c r="Q122" s="635"/>
      <c r="R122" s="236">
        <f>'Non Factor D Back Up'!D10</f>
        <v>1660284.97</v>
      </c>
      <c r="S122" s="642"/>
      <c r="T122" s="643"/>
      <c r="U122" s="643"/>
      <c r="V122" s="644"/>
      <c r="W122" s="236">
        <v>36990.32</v>
      </c>
      <c r="X122" s="642"/>
      <c r="Y122" s="643"/>
      <c r="Z122" s="643"/>
      <c r="AA122" s="644"/>
      <c r="AB122" s="246">
        <v>34663.89</v>
      </c>
      <c r="AC122" s="642"/>
      <c r="AD122" s="643"/>
      <c r="AE122" s="643"/>
      <c r="AF122" s="644"/>
      <c r="AG122" s="246">
        <v>12201.09</v>
      </c>
      <c r="AH122" s="642"/>
      <c r="AI122" s="643"/>
      <c r="AJ122" s="643"/>
      <c r="AK122" s="644"/>
      <c r="AL122" s="246">
        <v>9918.49</v>
      </c>
      <c r="AM122" s="642"/>
      <c r="AN122" s="643"/>
      <c r="AO122" s="643"/>
      <c r="AP122" s="644"/>
      <c r="AQ122" s="246">
        <v>13362.7</v>
      </c>
      <c r="AR122" s="642"/>
      <c r="AS122" s="643"/>
      <c r="AT122" s="643"/>
      <c r="AU122" s="644"/>
      <c r="AV122" s="246">
        <v>10400.98</v>
      </c>
      <c r="AW122" s="642"/>
      <c r="AX122" s="643"/>
      <c r="AY122" s="643"/>
      <c r="AZ122" s="644"/>
      <c r="BA122" s="184">
        <f>'Non Factor D Back Up'!K10</f>
        <v>10681.806459999998</v>
      </c>
      <c r="BB122" s="642"/>
      <c r="BC122" s="643"/>
      <c r="BD122" s="643"/>
      <c r="BE122" s="644"/>
      <c r="BF122" s="186">
        <f>'Non Factor D Back Up'!L10</f>
        <v>10970.215234419997</v>
      </c>
      <c r="BG122" s="642"/>
      <c r="BH122" s="643"/>
      <c r="BI122" s="643"/>
      <c r="BJ122" s="644"/>
      <c r="BK122" s="186">
        <f>'Non Factor D Back Up'!M10</f>
        <v>11266.411045749335</v>
      </c>
      <c r="BL122" s="642"/>
      <c r="BM122" s="643"/>
      <c r="BN122" s="643"/>
      <c r="BO122" s="644"/>
      <c r="BP122" s="186">
        <f>'Non Factor D Back Up'!N10</f>
        <v>11570.604143984567</v>
      </c>
      <c r="BQ122" s="642"/>
      <c r="BR122" s="643"/>
      <c r="BS122" s="643"/>
      <c r="BT122" s="644"/>
      <c r="BU122" s="186">
        <f>'Non Factor D Back Up'!O10</f>
        <v>11883.010455872149</v>
      </c>
      <c r="BV122" s="642"/>
      <c r="BW122" s="643"/>
      <c r="BX122" s="643"/>
      <c r="BY122" s="644"/>
      <c r="BZ122" s="186">
        <f>'Non Factor D Back Up'!P10</f>
        <v>12203.851738180696</v>
      </c>
    </row>
    <row r="123" spans="1:84" x14ac:dyDescent="0.25">
      <c r="H123" s="187"/>
    </row>
    <row r="124" spans="1:84" x14ac:dyDescent="0.25">
      <c r="A124" s="31" t="s">
        <v>178</v>
      </c>
      <c r="H124" s="187"/>
    </row>
    <row r="125" spans="1:84" x14ac:dyDescent="0.25">
      <c r="A125" s="31" t="s">
        <v>162</v>
      </c>
      <c r="H125" s="187">
        <f>H117</f>
        <v>75097.966395939075</v>
      </c>
      <c r="M125" s="187">
        <f>M117</f>
        <v>86513.035698757754</v>
      </c>
      <c r="R125" s="187">
        <f>R117</f>
        <v>92079.80692976588</v>
      </c>
      <c r="W125" s="187">
        <f>W117</f>
        <v>93735.426886792469</v>
      </c>
      <c r="X125" s="177"/>
      <c r="Y125" s="177"/>
      <c r="Z125" s="177"/>
      <c r="AA125" s="188"/>
      <c r="AB125" s="187">
        <f>AB117</f>
        <v>97172.292395287965</v>
      </c>
      <c r="AC125" s="177"/>
      <c r="AD125" s="177"/>
      <c r="AE125" s="177"/>
      <c r="AF125" s="188"/>
      <c r="AG125" s="187">
        <f>AG117</f>
        <v>94730.671136934689</v>
      </c>
      <c r="AL125" s="187">
        <f>AL117</f>
        <v>102203.22100487207</v>
      </c>
      <c r="AQ125" s="187">
        <f>AQ117</f>
        <v>114431.45119402985</v>
      </c>
      <c r="AV125" s="187">
        <f>AV117</f>
        <v>118982.42309373204</v>
      </c>
      <c r="BA125" s="187">
        <f>BA117</f>
        <v>107574.04089768384</v>
      </c>
      <c r="BF125" s="187">
        <f>BF117</f>
        <v>106164.34626084272</v>
      </c>
      <c r="BK125" s="187">
        <f>BK117</f>
        <v>111374.33352291082</v>
      </c>
      <c r="BP125" s="187">
        <f>BP117</f>
        <v>114999.3189644962</v>
      </c>
      <c r="BU125" s="187">
        <f>BU117</f>
        <v>119508.92291723013</v>
      </c>
      <c r="BZ125" s="187">
        <f>BZ117</f>
        <v>125210.2009368073</v>
      </c>
    </row>
    <row r="126" spans="1:84" x14ac:dyDescent="0.25">
      <c r="A126" s="31" t="s">
        <v>168</v>
      </c>
      <c r="H126" s="187">
        <f>H120</f>
        <v>30020</v>
      </c>
      <c r="M126" s="187">
        <f>M120</f>
        <v>29768.98</v>
      </c>
      <c r="R126" s="187">
        <f>R120</f>
        <v>25589.66</v>
      </c>
      <c r="W126" s="187">
        <f>W120</f>
        <v>26087.119999999999</v>
      </c>
      <c r="AB126" s="187">
        <f>AB120</f>
        <v>21905.46</v>
      </c>
      <c r="AG126" s="187">
        <f>AG120</f>
        <v>23745.06</v>
      </c>
      <c r="AL126" s="187">
        <f>AL120</f>
        <v>11883.19</v>
      </c>
      <c r="AQ126" s="187">
        <f>AQ120</f>
        <v>10967.65</v>
      </c>
      <c r="AV126" s="187">
        <f>AV120</f>
        <v>10510.96</v>
      </c>
      <c r="BA126" s="187">
        <f>BA120</f>
        <v>10794.755919999998</v>
      </c>
      <c r="BF126" s="187">
        <f>BF120</f>
        <v>11086.214329839997</v>
      </c>
      <c r="BK126" s="187">
        <f>BK120</f>
        <v>11385.542116745675</v>
      </c>
      <c r="BP126" s="187">
        <f>BP120</f>
        <v>11692.951753897807</v>
      </c>
      <c r="BU126" s="187">
        <f>BU120</f>
        <v>12008.661451253047</v>
      </c>
      <c r="BZ126" s="187">
        <f>BZ120</f>
        <v>12332.895310436877</v>
      </c>
    </row>
    <row r="127" spans="1:84" x14ac:dyDescent="0.25">
      <c r="A127" s="31" t="s">
        <v>179</v>
      </c>
      <c r="H127" s="187">
        <f>SUM(H125:H126)</f>
        <v>105117.96639593907</v>
      </c>
      <c r="M127" s="187">
        <f>SUM(M125:M126)</f>
        <v>116282.01569875775</v>
      </c>
      <c r="R127" s="187">
        <f>SUM(R125:R126)</f>
        <v>117669.46692976588</v>
      </c>
      <c r="W127" s="187">
        <f>SUM(W125:W126)</f>
        <v>119822.54688679246</v>
      </c>
      <c r="AB127" s="187">
        <f>SUM(AB125:AB126)</f>
        <v>119077.75239528797</v>
      </c>
      <c r="AG127" s="187">
        <f>SUM(AG125:AG126)</f>
        <v>118475.73113693469</v>
      </c>
      <c r="AL127" s="187">
        <f>SUM(AL125:AL126)</f>
        <v>114086.41100487208</v>
      </c>
      <c r="AQ127" s="187">
        <f>SUM(AQ125:AQ126)</f>
        <v>125399.10119402985</v>
      </c>
      <c r="AV127" s="187">
        <f>SUM(AV125:AV126)</f>
        <v>129493.38309373203</v>
      </c>
      <c r="BA127" s="187">
        <f>SUM(BA125:BA126)</f>
        <v>118368.79681768383</v>
      </c>
      <c r="BF127" s="187">
        <f>SUM(BF125:BF126)</f>
        <v>117250.56059068273</v>
      </c>
      <c r="BK127" s="187">
        <f>SUM(BK125:BK126)</f>
        <v>122759.8756396565</v>
      </c>
      <c r="BP127" s="187">
        <f>SUM(BP125:BP126)</f>
        <v>126692.27071839401</v>
      </c>
      <c r="BU127" s="187">
        <f>SUM(BU125:BU126)</f>
        <v>131517.58436848316</v>
      </c>
      <c r="BZ127" s="187">
        <f>SUM(BZ125:BZ126)</f>
        <v>137543.09624724419</v>
      </c>
    </row>
    <row r="128" spans="1:84" x14ac:dyDescent="0.25">
      <c r="H128" s="187"/>
      <c r="M128" s="187"/>
      <c r="R128" s="187"/>
    </row>
    <row r="129" spans="1:78" x14ac:dyDescent="0.25">
      <c r="A129" s="31" t="s">
        <v>169</v>
      </c>
      <c r="H129" s="187">
        <f>H121</f>
        <v>115181.02</v>
      </c>
      <c r="M129" s="187">
        <f>M121</f>
        <v>133363.43</v>
      </c>
      <c r="R129" s="187">
        <f>R121</f>
        <v>10885.76</v>
      </c>
      <c r="W129" s="187">
        <f>W121</f>
        <v>142178.81</v>
      </c>
      <c r="AB129" s="187">
        <f>AB121</f>
        <v>150571.22</v>
      </c>
      <c r="AG129" s="187">
        <f>AG121</f>
        <v>241743.79</v>
      </c>
      <c r="AL129" s="187">
        <f>AL121</f>
        <v>278047.31</v>
      </c>
      <c r="AQ129" s="187">
        <f>AQ121</f>
        <v>272519.90999999997</v>
      </c>
      <c r="AV129" s="187">
        <f>AV121</f>
        <v>272965.86</v>
      </c>
      <c r="BA129" s="187">
        <f>BA121</f>
        <v>288353.92000000004</v>
      </c>
      <c r="BF129" s="187">
        <f>BF121</f>
        <v>297167.80099999998</v>
      </c>
      <c r="BK129" s="187">
        <f>BK121</f>
        <v>305981.68199999997</v>
      </c>
      <c r="BP129" s="187">
        <f>BP121</f>
        <v>305981.68199999997</v>
      </c>
      <c r="BU129" s="187">
        <f>BU121</f>
        <v>323609.44399999996</v>
      </c>
      <c r="BZ129" s="187">
        <f>BZ121</f>
        <v>332423.32499999995</v>
      </c>
    </row>
    <row r="130" spans="1:78" x14ac:dyDescent="0.25">
      <c r="A130" s="31" t="s">
        <v>170</v>
      </c>
      <c r="H130" s="187">
        <f>H122</f>
        <v>46844.959999999999</v>
      </c>
      <c r="M130" s="187">
        <f>M122</f>
        <v>38281.78</v>
      </c>
      <c r="R130" s="187">
        <f>R122</f>
        <v>1660284.97</v>
      </c>
      <c r="W130" s="187">
        <f>W122</f>
        <v>36990.32</v>
      </c>
      <c r="AB130" s="187">
        <f>AB122</f>
        <v>34663.89</v>
      </c>
      <c r="AG130" s="187">
        <f>AG122</f>
        <v>12201.09</v>
      </c>
      <c r="AL130" s="187">
        <f>AL122</f>
        <v>9918.49</v>
      </c>
      <c r="AQ130" s="187">
        <f>AQ122</f>
        <v>13362.7</v>
      </c>
      <c r="AV130" s="187">
        <f>AV122</f>
        <v>10400.98</v>
      </c>
      <c r="BA130" s="187">
        <f>BA122</f>
        <v>10681.806459999998</v>
      </c>
      <c r="BF130" s="187">
        <f>BF122</f>
        <v>10970.215234419997</v>
      </c>
      <c r="BK130" s="187">
        <f>BK122</f>
        <v>11266.411045749335</v>
      </c>
      <c r="BP130" s="187">
        <f>BP122</f>
        <v>11570.604143984567</v>
      </c>
      <c r="BU130" s="187">
        <f>BU122</f>
        <v>11883.010455872149</v>
      </c>
      <c r="BZ130" s="187">
        <f>BZ122</f>
        <v>12203.851738180696</v>
      </c>
    </row>
    <row r="131" spans="1:78" x14ac:dyDescent="0.25">
      <c r="A131" s="31" t="s">
        <v>180</v>
      </c>
      <c r="H131" s="187">
        <f>SUM(H129:H130)</f>
        <v>162025.98000000001</v>
      </c>
      <c r="M131" s="187">
        <f>SUM(M129:M130)</f>
        <v>171645.21</v>
      </c>
      <c r="R131" s="187">
        <f>SUM(R129:R130)</f>
        <v>1671170.73</v>
      </c>
      <c r="W131" s="187">
        <f>SUM(W129:W130)</f>
        <v>179169.13</v>
      </c>
      <c r="AB131" s="187">
        <f>SUM(AB129:AB130)</f>
        <v>185235.11</v>
      </c>
      <c r="AG131" s="187">
        <f>SUM(AG129:AG130)</f>
        <v>253944.88</v>
      </c>
      <c r="AL131" s="187">
        <f>SUM(AL129:AL130)</f>
        <v>287965.8</v>
      </c>
      <c r="AQ131" s="187">
        <f>SUM(AQ129:AQ130)</f>
        <v>285882.61</v>
      </c>
      <c r="AV131" s="187">
        <f>SUM(AV129:AV130)</f>
        <v>283366.83999999997</v>
      </c>
      <c r="BA131" s="187">
        <f>SUM(BA129:BA130)</f>
        <v>299035.72646000003</v>
      </c>
      <c r="BF131" s="187">
        <f>SUM(BF129:BF130)</f>
        <v>308138.01623441995</v>
      </c>
      <c r="BK131" s="187">
        <f>SUM(BK129:BK130)</f>
        <v>317248.09304574929</v>
      </c>
      <c r="BP131" s="187">
        <f>SUM(BP129:BP130)</f>
        <v>317552.28614398453</v>
      </c>
      <c r="BU131" s="187">
        <f>SUM(BU129:BU130)</f>
        <v>335492.45445587212</v>
      </c>
      <c r="BZ131" s="187">
        <f>SUM(BZ129:BZ130)</f>
        <v>344627.17673818063</v>
      </c>
    </row>
    <row r="132" spans="1:78" x14ac:dyDescent="0.25">
      <c r="H132" s="187"/>
      <c r="M132" s="187"/>
      <c r="R132" s="187"/>
    </row>
    <row r="133" spans="1:78" x14ac:dyDescent="0.25">
      <c r="A133" s="31" t="s">
        <v>181</v>
      </c>
      <c r="H133" s="188" t="str">
        <f>IF(H131&gt;H127,"YES","NO")</f>
        <v>YES</v>
      </c>
      <c r="M133" s="188" t="str">
        <f>IF(M131&gt;M127,"YES","NO")</f>
        <v>YES</v>
      </c>
      <c r="R133" s="188" t="str">
        <f>IF(R131&gt;R127,"YES","NO")</f>
        <v>YES</v>
      </c>
      <c r="W133" s="188" t="str">
        <f>IF(W131&gt;W127,"YES","NO")</f>
        <v>YES</v>
      </c>
      <c r="AB133" s="188" t="str">
        <f>IF(AB131&gt;AB127,"YES","NO")</f>
        <v>YES</v>
      </c>
      <c r="AG133" s="188" t="str">
        <f>IF(AG131&gt;AG127,"YES","NO")</f>
        <v>YES</v>
      </c>
      <c r="AL133" s="188" t="str">
        <f>IF(AL131&gt;AL127,"YES","NO")</f>
        <v>YES</v>
      </c>
      <c r="AQ133" s="188" t="str">
        <f>IF(AQ131&gt;AQ127,"YES","NO")</f>
        <v>YES</v>
      </c>
      <c r="AV133" s="188" t="str">
        <f>IF(AV131&gt;AV127,"YES","NO")</f>
        <v>YES</v>
      </c>
      <c r="BA133" s="188" t="str">
        <f>IF(BA131&gt;BA127,"YES","NO")</f>
        <v>YES</v>
      </c>
      <c r="BF133" s="188" t="str">
        <f>IF(BF131&gt;BF127,"YES","NO")</f>
        <v>YES</v>
      </c>
      <c r="BK133" s="188" t="str">
        <f>IF(BK131&gt;BK127,"YES","NO")</f>
        <v>YES</v>
      </c>
      <c r="BP133" s="188" t="str">
        <f>IF(BP131&gt;BP127,"YES","NO")</f>
        <v>YES</v>
      </c>
      <c r="BU133" s="188" t="str">
        <f>IF(BU131&gt;BU127,"YES","NO")</f>
        <v>YES</v>
      </c>
      <c r="BZ133" s="188" t="str">
        <f>IF(BZ131&gt;BZ127,"YES","NO")</f>
        <v>YES</v>
      </c>
    </row>
    <row r="134" spans="1:78" hidden="1" x14ac:dyDescent="0.25"/>
    <row r="135" spans="1:78" hidden="1" x14ac:dyDescent="0.25">
      <c r="AQ135" s="191"/>
    </row>
    <row r="136" spans="1:78" hidden="1" x14ac:dyDescent="0.25">
      <c r="AW136" s="176" t="s">
        <v>1090</v>
      </c>
      <c r="BA136" s="187">
        <f>(AV115*((AX142)/365)+(BA115*((AZ151)/365)))</f>
        <v>190995844.8729144</v>
      </c>
      <c r="BB136" s="176" t="s">
        <v>1092</v>
      </c>
      <c r="BF136" s="187">
        <f>(BA115*((BC142)/365)+(BF115*((BE151)/365)))</f>
        <v>192751751.32088372</v>
      </c>
    </row>
    <row r="137" spans="1:78" hidden="1" x14ac:dyDescent="0.25">
      <c r="AW137" s="176" t="s">
        <v>1091</v>
      </c>
      <c r="BA137" s="187">
        <v>207461005.87</v>
      </c>
      <c r="BB137" s="176" t="s">
        <v>1093</v>
      </c>
      <c r="BF137" s="187">
        <v>208315280.91999999</v>
      </c>
    </row>
    <row r="138" spans="1:78" hidden="1" x14ac:dyDescent="0.25">
      <c r="BA138" s="566">
        <f>BA137-BA136</f>
        <v>16465160.997085601</v>
      </c>
      <c r="BF138" s="566">
        <f>BF137-BF136</f>
        <v>15563529.599116266</v>
      </c>
    </row>
    <row r="139" spans="1:78" hidden="1" x14ac:dyDescent="0.25"/>
    <row r="140" spans="1:78" hidden="1" x14ac:dyDescent="0.25">
      <c r="AW140" s="545">
        <v>42644</v>
      </c>
      <c r="AX140" s="176">
        <v>31</v>
      </c>
      <c r="AY140" s="545">
        <v>42675</v>
      </c>
      <c r="AZ140" s="176">
        <f>30-AX141</f>
        <v>11</v>
      </c>
      <c r="BB140" s="545">
        <v>43009</v>
      </c>
      <c r="BC140" s="176">
        <v>31</v>
      </c>
      <c r="BD140" s="545">
        <v>43040</v>
      </c>
      <c r="BE140" s="176">
        <f>30-BC141</f>
        <v>11</v>
      </c>
    </row>
    <row r="141" spans="1:78" hidden="1" x14ac:dyDescent="0.25">
      <c r="AW141" s="545">
        <v>42675</v>
      </c>
      <c r="AX141" s="546">
        <v>19</v>
      </c>
      <c r="AY141" s="545">
        <v>42705</v>
      </c>
      <c r="AZ141" s="176">
        <v>31</v>
      </c>
      <c r="BB141" s="545">
        <v>43040</v>
      </c>
      <c r="BC141" s="546">
        <v>19</v>
      </c>
      <c r="BD141" s="545">
        <v>43070</v>
      </c>
      <c r="BE141" s="176">
        <v>31</v>
      </c>
    </row>
    <row r="142" spans="1:78" hidden="1" x14ac:dyDescent="0.25">
      <c r="AX142" s="176">
        <f>SUM(AX140:AX141)</f>
        <v>50</v>
      </c>
      <c r="AY142" s="545">
        <v>42736</v>
      </c>
      <c r="AZ142" s="176">
        <v>31</v>
      </c>
      <c r="BC142" s="176">
        <f>SUM(BC140:BC141)</f>
        <v>50</v>
      </c>
      <c r="BD142" s="545">
        <v>43101</v>
      </c>
      <c r="BE142" s="176">
        <v>31</v>
      </c>
    </row>
    <row r="143" spans="1:78" hidden="1" x14ac:dyDescent="0.25">
      <c r="AY143" s="545">
        <v>42767</v>
      </c>
      <c r="AZ143" s="176">
        <v>28</v>
      </c>
      <c r="BD143" s="545">
        <v>43132</v>
      </c>
      <c r="BE143" s="176">
        <v>28</v>
      </c>
    </row>
    <row r="144" spans="1:78" hidden="1" x14ac:dyDescent="0.25">
      <c r="AY144" s="545">
        <v>42795</v>
      </c>
      <c r="AZ144" s="176">
        <v>31</v>
      </c>
      <c r="BD144" s="545">
        <v>43160</v>
      </c>
      <c r="BE144" s="176">
        <v>31</v>
      </c>
    </row>
    <row r="145" spans="33:58" hidden="1" x14ac:dyDescent="0.25">
      <c r="AY145" s="545">
        <v>42826</v>
      </c>
      <c r="AZ145" s="176">
        <v>30</v>
      </c>
      <c r="BD145" s="545">
        <v>43191</v>
      </c>
      <c r="BE145" s="176">
        <v>30</v>
      </c>
    </row>
    <row r="146" spans="33:58" hidden="1" x14ac:dyDescent="0.25">
      <c r="AY146" s="545">
        <v>42856</v>
      </c>
      <c r="AZ146" s="176">
        <v>31</v>
      </c>
      <c r="BD146" s="545">
        <v>43221</v>
      </c>
      <c r="BE146" s="176">
        <v>31</v>
      </c>
    </row>
    <row r="147" spans="33:58" hidden="1" x14ac:dyDescent="0.25">
      <c r="AY147" s="545">
        <v>42887</v>
      </c>
      <c r="AZ147" s="176">
        <v>30</v>
      </c>
      <c r="BD147" s="545">
        <v>43252</v>
      </c>
      <c r="BE147" s="176">
        <v>30</v>
      </c>
    </row>
    <row r="148" spans="33:58" hidden="1" x14ac:dyDescent="0.25">
      <c r="AY148" s="545">
        <v>42917</v>
      </c>
      <c r="AZ148" s="176">
        <v>31</v>
      </c>
      <c r="BD148" s="545">
        <v>43282</v>
      </c>
      <c r="BE148" s="176">
        <v>31</v>
      </c>
    </row>
    <row r="149" spans="33:58" hidden="1" x14ac:dyDescent="0.25">
      <c r="AY149" s="545">
        <v>42948</v>
      </c>
      <c r="AZ149" s="176">
        <v>31</v>
      </c>
      <c r="BD149" s="545">
        <v>43313</v>
      </c>
      <c r="BE149" s="176">
        <v>31</v>
      </c>
    </row>
    <row r="150" spans="33:58" hidden="1" x14ac:dyDescent="0.25">
      <c r="AY150" s="545">
        <v>42979</v>
      </c>
      <c r="AZ150" s="546">
        <v>30</v>
      </c>
      <c r="BD150" s="545">
        <v>43344</v>
      </c>
      <c r="BE150" s="546">
        <v>30</v>
      </c>
    </row>
    <row r="151" spans="33:58" hidden="1" x14ac:dyDescent="0.25">
      <c r="AZ151" s="176">
        <f>SUM(AZ140:AZ150)</f>
        <v>315</v>
      </c>
      <c r="BE151" s="176">
        <f>SUM(BE140:BE150)</f>
        <v>315</v>
      </c>
    </row>
    <row r="152" spans="33:58" hidden="1" x14ac:dyDescent="0.25">
      <c r="AZ152" s="546">
        <f>AX142</f>
        <v>50</v>
      </c>
      <c r="BE152" s="546">
        <f>BC142</f>
        <v>50</v>
      </c>
    </row>
    <row r="153" spans="33:58" hidden="1" x14ac:dyDescent="0.25">
      <c r="AY153" s="176" t="s">
        <v>1094</v>
      </c>
      <c r="AZ153" s="176">
        <f>AZ151+AZ152</f>
        <v>365</v>
      </c>
      <c r="BD153" s="176" t="s">
        <v>1094</v>
      </c>
      <c r="BE153" s="176">
        <f>BE151+BE152</f>
        <v>365</v>
      </c>
    </row>
    <row r="154" spans="33:58" hidden="1" x14ac:dyDescent="0.25">
      <c r="AG154" s="191"/>
    </row>
    <row r="155" spans="33:58" hidden="1" x14ac:dyDescent="0.25"/>
    <row r="156" spans="33:58" hidden="1" x14ac:dyDescent="0.25"/>
    <row r="157" spans="33:58" hidden="1" x14ac:dyDescent="0.25">
      <c r="AY157" s="176" t="s">
        <v>1098</v>
      </c>
      <c r="BA157" s="187">
        <v>203094412.22999999</v>
      </c>
      <c r="BD157" s="176" t="s">
        <v>1098</v>
      </c>
      <c r="BF157" s="187">
        <v>203094412.22999999</v>
      </c>
    </row>
    <row r="158" spans="33:58" hidden="1" x14ac:dyDescent="0.25">
      <c r="AY158" s="176" t="s">
        <v>1099</v>
      </c>
      <c r="BA158" s="567">
        <f>BA157-BA136</f>
        <v>12098567.357085586</v>
      </c>
      <c r="BD158" s="176" t="s">
        <v>1099</v>
      </c>
      <c r="BF158" s="567">
        <f>BF157-BF136</f>
        <v>10342660.909116268</v>
      </c>
    </row>
    <row r="159" spans="33:58" hidden="1" x14ac:dyDescent="0.25"/>
    <row r="160" spans="33:58" hidden="1" x14ac:dyDescent="0.25">
      <c r="AY160" s="649" t="s">
        <v>1103</v>
      </c>
      <c r="AZ160" s="649"/>
      <c r="BA160" s="595">
        <v>213081450</v>
      </c>
    </row>
    <row r="161" spans="51:53" hidden="1" x14ac:dyDescent="0.25">
      <c r="AY161" s="596" t="s">
        <v>1099</v>
      </c>
      <c r="AZ161" s="595"/>
      <c r="BA161" s="595">
        <f>BA160-BA136</f>
        <v>22085605.127085596</v>
      </c>
    </row>
    <row r="162" spans="51:53" hidden="1" x14ac:dyDescent="0.25"/>
    <row r="163" spans="51:53" hidden="1" x14ac:dyDescent="0.25"/>
    <row r="164" spans="51:53" hidden="1" x14ac:dyDescent="0.25"/>
  </sheetData>
  <customSheetViews>
    <customSheetView guid="{B6305DA3-A032-4F38-BA31-37F5B3FAC8B9}" scale="85" fitToPage="1" hiddenColumns="1">
      <pane xSplit="3" ySplit="2" topLeftCell="BA90" activePane="bottomRight" state="frozen"/>
      <selection pane="bottomRight" activeCell="BE129" sqref="BE129"/>
      <rowBreaks count="1" manualBreakCount="1">
        <brk id="83" max="16383" man="1"/>
      </rowBreaks>
      <pageMargins left="0" right="0" top="0" bottom="0" header="0.3" footer="0.3"/>
      <printOptions horizontalCentered="1"/>
      <pageSetup paperSize="5" scale="25" orientation="portrait" r:id="rId1"/>
    </customSheetView>
    <customSheetView guid="{BE213145-94B6-4D67-83E8-F1C2631C8B17}" scale="85" showPageBreaks="1" fitToPage="1" printArea="1" hiddenColumns="1">
      <pane xSplit="3" ySplit="2" topLeftCell="AM31" activePane="bottomRight" state="frozen"/>
      <selection pane="bottomRight" activeCell="BJ42" sqref="BJ42"/>
      <rowBreaks count="1" manualBreakCount="1">
        <brk id="83" max="16383" man="1"/>
      </rowBreaks>
      <pageMargins left="0" right="0" top="0" bottom="0" header="0.3" footer="0.3"/>
      <printOptions horizontalCentered="1"/>
      <pageSetup paperSize="5" scale="17" orientation="portrait" r:id="rId2"/>
    </customSheetView>
  </customSheetViews>
  <mergeCells count="40">
    <mergeCell ref="AY160:AZ160"/>
    <mergeCell ref="BQ2:BU2"/>
    <mergeCell ref="BQ115:BT122"/>
    <mergeCell ref="BV2:BZ2"/>
    <mergeCell ref="BV115:BY122"/>
    <mergeCell ref="BB2:BF2"/>
    <mergeCell ref="BB115:BE122"/>
    <mergeCell ref="BG2:BK2"/>
    <mergeCell ref="BG115:BJ122"/>
    <mergeCell ref="BL2:BP2"/>
    <mergeCell ref="BL115:BO122"/>
    <mergeCell ref="AW115:AZ122"/>
    <mergeCell ref="X115:AA122"/>
    <mergeCell ref="AC115:AF122"/>
    <mergeCell ref="AH115:AK122"/>
    <mergeCell ref="AM115:AP122"/>
    <mergeCell ref="AR115:AU122"/>
    <mergeCell ref="AC2:AG2"/>
    <mergeCell ref="AH2:AL2"/>
    <mergeCell ref="AM2:AQ2"/>
    <mergeCell ref="AR2:AV2"/>
    <mergeCell ref="AW2:BA2"/>
    <mergeCell ref="A115:C115"/>
    <mergeCell ref="D115:G122"/>
    <mergeCell ref="I115:L122"/>
    <mergeCell ref="N115:Q122"/>
    <mergeCell ref="S115:V122"/>
    <mergeCell ref="A122:C122"/>
    <mergeCell ref="A116:C116"/>
    <mergeCell ref="A117:C117"/>
    <mergeCell ref="A118:C118"/>
    <mergeCell ref="A119:C119"/>
    <mergeCell ref="A120:C120"/>
    <mergeCell ref="A121:C121"/>
    <mergeCell ref="X2:AB2"/>
    <mergeCell ref="A2:C2"/>
    <mergeCell ref="D2:H2"/>
    <mergeCell ref="I2:M2"/>
    <mergeCell ref="N2:R2"/>
    <mergeCell ref="S2:W2"/>
  </mergeCells>
  <phoneticPr fontId="21" type="noConversion"/>
  <printOptions horizontalCentered="1"/>
  <pageMargins left="0" right="0" top="0" bottom="0" header="0.3" footer="0.3"/>
  <pageSetup paperSize="5" scale="45" fitToWidth="4" fitToHeight="4" orientation="landscape" r:id="rId3"/>
  <rowBreaks count="1" manualBreakCount="1">
    <brk id="84" max="16383" man="1"/>
  </rowBreaks>
  <legacyDrawing r:id="rId4"/>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pageSetUpPr fitToPage="1"/>
  </sheetPr>
  <dimension ref="A2:BU106"/>
  <sheetViews>
    <sheetView zoomScale="90" zoomScaleNormal="90" workbookViewId="0">
      <pane xSplit="3" ySplit="3" topLeftCell="E76" activePane="bottomRight" state="frozen"/>
      <selection pane="topRight" activeCell="D1" sqref="D1"/>
      <selection pane="bottomLeft" activeCell="A4" sqref="A4"/>
      <selection pane="bottomRight" activeCell="E106" sqref="E106"/>
    </sheetView>
  </sheetViews>
  <sheetFormatPr defaultColWidth="8.85546875" defaultRowHeight="15" x14ac:dyDescent="0.25"/>
  <cols>
    <col min="1" max="1" width="42.7109375" bestFit="1" customWidth="1"/>
    <col min="2" max="2" width="19.85546875" customWidth="1"/>
    <col min="3" max="3" width="12" customWidth="1"/>
    <col min="4" max="5" width="10.85546875" style="17" customWidth="1"/>
    <col min="6" max="6" width="11.85546875" style="17" customWidth="1"/>
    <col min="7" max="7" width="14.140625" style="17" customWidth="1"/>
    <col min="8" max="8" width="15.42578125" style="17" customWidth="1"/>
    <col min="9" max="11" width="11.85546875" style="17" customWidth="1"/>
    <col min="12" max="12" width="14" style="17" customWidth="1"/>
    <col min="13" max="13" width="16.42578125" style="17" customWidth="1"/>
    <col min="14" max="14" width="9.140625" style="17" customWidth="1"/>
    <col min="15" max="15" width="11.140625" style="17" customWidth="1"/>
    <col min="16" max="16" width="10.85546875" style="17" customWidth="1"/>
    <col min="17" max="17" width="14" style="17" customWidth="1"/>
    <col min="18" max="18" width="16.7109375" style="17" bestFit="1" customWidth="1"/>
    <col min="19" max="19" width="9.28515625" style="17" hidden="1" customWidth="1"/>
    <col min="20" max="20" width="11.42578125" style="17" hidden="1" customWidth="1"/>
    <col min="21" max="21" width="10.85546875" style="17" hidden="1" customWidth="1"/>
    <col min="22" max="22" width="11.28515625" style="17" hidden="1" customWidth="1"/>
    <col min="23" max="23" width="15.42578125" style="17" hidden="1" customWidth="1"/>
    <col min="24" max="24" width="8.85546875" style="101" hidden="1" customWidth="1"/>
    <col min="25" max="25" width="8.85546875" style="72" hidden="1" customWidth="1"/>
    <col min="26" max="26" width="11.42578125" style="101" hidden="1" customWidth="1"/>
    <col min="27" max="27" width="11.7109375" style="104" hidden="1" customWidth="1"/>
    <col min="28" max="28" width="17.28515625" style="105" hidden="1" customWidth="1"/>
    <col min="29" max="29" width="9.140625" hidden="1" customWidth="1"/>
    <col min="30" max="30" width="11.42578125" hidden="1" customWidth="1"/>
    <col min="31" max="31" width="10.85546875" hidden="1" customWidth="1"/>
    <col min="32" max="32" width="11.7109375" hidden="1" customWidth="1"/>
    <col min="33" max="33" width="15.85546875" hidden="1" customWidth="1"/>
    <col min="34" max="35" width="9.140625" hidden="1" customWidth="1"/>
    <col min="36" max="36" width="10.85546875" hidden="1" customWidth="1"/>
    <col min="37" max="37" width="10.140625" hidden="1" customWidth="1"/>
    <col min="38" max="38" width="15.42578125" hidden="1" customWidth="1"/>
    <col min="39" max="40" width="9.140625" hidden="1" customWidth="1"/>
    <col min="41" max="41" width="10.85546875" hidden="1" customWidth="1"/>
    <col min="42" max="42" width="9.7109375" hidden="1" customWidth="1"/>
    <col min="43" max="43" width="15.42578125" hidden="1" customWidth="1"/>
    <col min="44" max="45" width="9.140625" hidden="1" customWidth="1"/>
    <col min="46" max="46" width="10.85546875" hidden="1" customWidth="1"/>
    <col min="47" max="47" width="9.85546875" hidden="1" customWidth="1"/>
    <col min="48" max="48" width="15.42578125" hidden="1" customWidth="1"/>
    <col min="49" max="50" width="9.140625" hidden="1" customWidth="1"/>
    <col min="51" max="51" width="10.85546875" hidden="1" customWidth="1"/>
    <col min="52" max="52" width="10.42578125" hidden="1" customWidth="1"/>
    <col min="53" max="53" width="15.42578125" hidden="1" customWidth="1"/>
  </cols>
  <sheetData>
    <row r="2" spans="1:53" s="36" customFormat="1" x14ac:dyDescent="0.25">
      <c r="A2" s="676" t="s">
        <v>199</v>
      </c>
      <c r="B2" s="676"/>
      <c r="C2" s="676"/>
      <c r="D2" s="680" t="s">
        <v>159</v>
      </c>
      <c r="E2" s="680"/>
      <c r="F2" s="680"/>
      <c r="G2" s="680"/>
      <c r="H2" s="680"/>
      <c r="I2" s="623" t="s">
        <v>171</v>
      </c>
      <c r="J2" s="623"/>
      <c r="K2" s="623"/>
      <c r="L2" s="623"/>
      <c r="M2" s="623"/>
      <c r="N2" s="675" t="s">
        <v>182</v>
      </c>
      <c r="O2" s="675"/>
      <c r="P2" s="675"/>
      <c r="Q2" s="675"/>
      <c r="R2" s="675"/>
      <c r="S2" s="651" t="s">
        <v>165</v>
      </c>
      <c r="T2" s="652"/>
      <c r="U2" s="652"/>
      <c r="V2" s="652"/>
      <c r="W2" s="653"/>
      <c r="X2" s="672" t="s">
        <v>172</v>
      </c>
      <c r="Y2" s="673"/>
      <c r="Z2" s="673"/>
      <c r="AA2" s="673"/>
      <c r="AB2" s="674"/>
      <c r="AC2" s="666" t="s">
        <v>173</v>
      </c>
      <c r="AD2" s="667"/>
      <c r="AE2" s="667"/>
      <c r="AF2" s="667"/>
      <c r="AG2" s="668"/>
      <c r="AH2" s="666" t="s">
        <v>174</v>
      </c>
      <c r="AI2" s="667"/>
      <c r="AJ2" s="667"/>
      <c r="AK2" s="667"/>
      <c r="AL2" s="668"/>
      <c r="AM2" s="669" t="s">
        <v>175</v>
      </c>
      <c r="AN2" s="670"/>
      <c r="AO2" s="670"/>
      <c r="AP2" s="670"/>
      <c r="AQ2" s="671"/>
      <c r="AR2" s="666" t="s">
        <v>176</v>
      </c>
      <c r="AS2" s="667"/>
      <c r="AT2" s="667"/>
      <c r="AU2" s="667"/>
      <c r="AV2" s="668"/>
      <c r="AW2" s="654" t="s">
        <v>177</v>
      </c>
      <c r="AX2" s="655"/>
      <c r="AY2" s="655"/>
      <c r="AZ2" s="655"/>
      <c r="BA2" s="656"/>
    </row>
    <row r="3" spans="1:53" ht="45" x14ac:dyDescent="0.25">
      <c r="A3" s="1" t="s">
        <v>148</v>
      </c>
      <c r="B3" s="1" t="s">
        <v>150</v>
      </c>
      <c r="C3" s="1" t="s">
        <v>151</v>
      </c>
      <c r="D3" s="57" t="s">
        <v>154</v>
      </c>
      <c r="E3" s="58" t="s">
        <v>155</v>
      </c>
      <c r="F3" s="58" t="s">
        <v>158</v>
      </c>
      <c r="G3" s="57" t="s">
        <v>156</v>
      </c>
      <c r="H3" s="57" t="s">
        <v>157</v>
      </c>
      <c r="I3" s="53" t="s">
        <v>154</v>
      </c>
      <c r="J3" s="54" t="s">
        <v>155</v>
      </c>
      <c r="K3" s="54" t="s">
        <v>158</v>
      </c>
      <c r="L3" s="53" t="s">
        <v>156</v>
      </c>
      <c r="M3" s="53" t="s">
        <v>157</v>
      </c>
      <c r="N3" s="55" t="s">
        <v>154</v>
      </c>
      <c r="O3" s="56" t="s">
        <v>155</v>
      </c>
      <c r="P3" s="56" t="s">
        <v>158</v>
      </c>
      <c r="Q3" s="55" t="s">
        <v>156</v>
      </c>
      <c r="R3" s="55" t="s">
        <v>157</v>
      </c>
      <c r="S3" s="59" t="s">
        <v>154</v>
      </c>
      <c r="T3" s="60" t="s">
        <v>155</v>
      </c>
      <c r="U3" s="60" t="s">
        <v>158</v>
      </c>
      <c r="V3" s="60" t="s">
        <v>156</v>
      </c>
      <c r="W3" s="59" t="s">
        <v>157</v>
      </c>
      <c r="X3" s="93" t="s">
        <v>154</v>
      </c>
      <c r="Y3" s="125" t="s">
        <v>155</v>
      </c>
      <c r="Z3" s="126" t="s">
        <v>158</v>
      </c>
      <c r="AA3" s="128" t="s">
        <v>156</v>
      </c>
      <c r="AB3" s="127" t="s">
        <v>157</v>
      </c>
      <c r="AC3" s="61" t="s">
        <v>154</v>
      </c>
      <c r="AD3" s="62" t="s">
        <v>155</v>
      </c>
      <c r="AE3" s="62" t="s">
        <v>158</v>
      </c>
      <c r="AF3" s="62" t="s">
        <v>156</v>
      </c>
      <c r="AG3" s="61" t="s">
        <v>157</v>
      </c>
      <c r="AH3" s="63" t="s">
        <v>154</v>
      </c>
      <c r="AI3" s="64" t="s">
        <v>155</v>
      </c>
      <c r="AJ3" s="64" t="s">
        <v>158</v>
      </c>
      <c r="AK3" s="64" t="s">
        <v>156</v>
      </c>
      <c r="AL3" s="63" t="s">
        <v>157</v>
      </c>
      <c r="AM3" s="65" t="s">
        <v>154</v>
      </c>
      <c r="AN3" s="66" t="s">
        <v>155</v>
      </c>
      <c r="AO3" s="66" t="s">
        <v>158</v>
      </c>
      <c r="AP3" s="66" t="s">
        <v>156</v>
      </c>
      <c r="AQ3" s="65" t="s">
        <v>157</v>
      </c>
      <c r="AR3" s="67" t="s">
        <v>154</v>
      </c>
      <c r="AS3" s="68" t="s">
        <v>155</v>
      </c>
      <c r="AT3" s="68" t="s">
        <v>158</v>
      </c>
      <c r="AU3" s="68" t="s">
        <v>156</v>
      </c>
      <c r="AV3" s="67" t="s">
        <v>157</v>
      </c>
      <c r="AW3" s="69" t="s">
        <v>154</v>
      </c>
      <c r="AX3" s="70" t="s">
        <v>155</v>
      </c>
      <c r="AY3" s="70" t="s">
        <v>158</v>
      </c>
      <c r="AZ3" s="70" t="s">
        <v>156</v>
      </c>
      <c r="BA3" s="69" t="s">
        <v>157</v>
      </c>
    </row>
    <row r="4" spans="1:53" x14ac:dyDescent="0.25">
      <c r="A4" s="109" t="str">
        <f>'Factor D Back Up'!A3</f>
        <v>Wellness Svc's - Nutritional Cnslg.</v>
      </c>
      <c r="B4" s="3" t="s">
        <v>184</v>
      </c>
      <c r="C4" s="3" t="s">
        <v>152</v>
      </c>
      <c r="D4" s="21">
        <v>648</v>
      </c>
      <c r="E4" s="22">
        <f t="shared" ref="E4:E71" si="0">F4/D4</f>
        <v>18.537037037037038</v>
      </c>
      <c r="F4" s="21">
        <v>12012</v>
      </c>
      <c r="G4" s="24">
        <f t="shared" ref="G4:G71" si="1">H4/F4</f>
        <v>13.708791208791208</v>
      </c>
      <c r="H4" s="274">
        <v>164670</v>
      </c>
      <c r="I4" s="21">
        <v>624</v>
      </c>
      <c r="J4" s="22">
        <f>K4/I4</f>
        <v>27.080128205128204</v>
      </c>
      <c r="K4" s="21">
        <v>16898</v>
      </c>
      <c r="L4" s="24">
        <f t="shared" ref="L4:L71" si="2">M4/K4</f>
        <v>13.300612498520534</v>
      </c>
      <c r="M4" s="274">
        <v>224753.75</v>
      </c>
      <c r="N4" s="21">
        <v>816</v>
      </c>
      <c r="O4" s="22">
        <f>P4/N4</f>
        <v>28.301470588235293</v>
      </c>
      <c r="P4" s="21">
        <v>23094</v>
      </c>
      <c r="Q4" s="24">
        <f t="shared" ref="Q4:Q22" si="3">R4/P4</f>
        <v>13.587224820299644</v>
      </c>
      <c r="R4" s="274">
        <v>313783.37</v>
      </c>
      <c r="S4" s="21">
        <v>721</v>
      </c>
      <c r="T4" s="22">
        <f t="shared" ref="T4:T25" si="4">U4/S4</f>
        <v>28.009708737864077</v>
      </c>
      <c r="U4" s="21">
        <v>20195</v>
      </c>
      <c r="V4" s="24">
        <f t="shared" ref="V4:V25" si="5">W4/U4</f>
        <v>13.730450111413717</v>
      </c>
      <c r="W4" s="24">
        <v>277286.44</v>
      </c>
      <c r="X4" s="102">
        <v>849</v>
      </c>
      <c r="Y4" s="71">
        <f>Z4/X4</f>
        <v>25.514134275618375</v>
      </c>
      <c r="Z4" s="102">
        <v>21661.5</v>
      </c>
      <c r="AA4" s="94">
        <f>AB4/Z4</f>
        <v>13.728129630911987</v>
      </c>
      <c r="AB4" s="94">
        <v>297371.88</v>
      </c>
      <c r="AC4" s="7">
        <f>'Factor D Back Up'!D10</f>
        <v>1412</v>
      </c>
      <c r="AD4" s="8">
        <f>'Factor D Back Up'!E10</f>
        <v>22.263456090651559</v>
      </c>
      <c r="AE4" s="7">
        <f>'Factor D Back Up'!F10</f>
        <v>31436</v>
      </c>
      <c r="AF4" s="5">
        <f>'Factor D Back Up'!G10</f>
        <v>13.733854498027739</v>
      </c>
      <c r="AG4" s="5">
        <f>'Factor D Back Up'!H10</f>
        <v>431737.45</v>
      </c>
      <c r="AH4" s="7">
        <f>'Factor D Back Up'!D11</f>
        <v>1296</v>
      </c>
      <c r="AI4" s="8">
        <f>'Factor D Back Up'!E11</f>
        <v>34.846450617283949</v>
      </c>
      <c r="AJ4" s="7">
        <f>'Factor D Back Up'!F11</f>
        <v>45161</v>
      </c>
      <c r="AK4" s="5">
        <f>'Factor D Back Up'!G11</f>
        <v>13.738425854166206</v>
      </c>
      <c r="AL4" s="5">
        <f>'Factor D Back Up'!H11</f>
        <v>620441.05000000005</v>
      </c>
      <c r="AM4" s="7">
        <f>'Factor D Back Up'!D12</f>
        <v>898</v>
      </c>
      <c r="AN4" s="7">
        <f>'Factor D Back Up'!E12</f>
        <v>50.854120267260576</v>
      </c>
      <c r="AO4" s="7">
        <f>'Factor D Back Up'!F12</f>
        <v>45667</v>
      </c>
      <c r="AP4" s="5">
        <f>'Factor D Back Up'!G12</f>
        <v>13.725913022532684</v>
      </c>
      <c r="AQ4" s="5">
        <f>'Factor D Back Up'!H12</f>
        <v>626821.27</v>
      </c>
      <c r="AR4" s="7">
        <f>'Factor D Back Up'!D13</f>
        <v>852</v>
      </c>
      <c r="AS4" s="7">
        <f>'Factor D Back Up'!E13</f>
        <v>43.724178403755872</v>
      </c>
      <c r="AT4" s="7">
        <f>'Factor D Back Up'!F13</f>
        <v>37253</v>
      </c>
      <c r="AU4" s="5">
        <f>'Factor D Back Up'!G13</f>
        <v>15.743788151289829</v>
      </c>
      <c r="AV4" s="5">
        <f>'Factor D Back Up'!H13</f>
        <v>586503.34</v>
      </c>
      <c r="AW4" s="7">
        <f>'Factor D Back Up'!D14</f>
        <v>951</v>
      </c>
      <c r="AX4" s="7">
        <f>'Factor D Back Up'!E14</f>
        <v>46.012418191933037</v>
      </c>
      <c r="AY4" s="7">
        <f>'Factor D Back Up'!F14</f>
        <v>43757.80970052832</v>
      </c>
      <c r="AZ4" s="7">
        <f>'Factor D Back Up'!G14</f>
        <v>16.420000000000002</v>
      </c>
      <c r="BA4" s="7">
        <f>'Factor D Back Up'!H14</f>
        <v>718503.23528267513</v>
      </c>
    </row>
    <row r="5" spans="1:53" s="95" customFormat="1" x14ac:dyDescent="0.25">
      <c r="A5" s="96" t="s">
        <v>149</v>
      </c>
      <c r="B5" s="96"/>
      <c r="C5" s="96" t="s">
        <v>152</v>
      </c>
      <c r="D5" s="116">
        <v>24</v>
      </c>
      <c r="E5" s="117">
        <f t="shared" si="0"/>
        <v>1929.7916666666667</v>
      </c>
      <c r="F5" s="116">
        <v>46315</v>
      </c>
      <c r="G5" s="118">
        <f t="shared" si="1"/>
        <v>4.0798926913526934</v>
      </c>
      <c r="H5" s="274">
        <v>188960.23</v>
      </c>
      <c r="I5" s="116">
        <v>6</v>
      </c>
      <c r="J5" s="117">
        <f>K5/I5</f>
        <v>3254</v>
      </c>
      <c r="K5" s="116">
        <v>19524</v>
      </c>
      <c r="L5" s="118">
        <f t="shared" si="2"/>
        <v>4.08</v>
      </c>
      <c r="M5" s="274">
        <v>79657.919999999998</v>
      </c>
      <c r="N5" s="116">
        <v>2</v>
      </c>
      <c r="O5" s="117">
        <f>P5/N5</f>
        <v>5232</v>
      </c>
      <c r="P5" s="116">
        <v>10464</v>
      </c>
      <c r="Q5" s="118">
        <f t="shared" si="3"/>
        <v>4.08</v>
      </c>
      <c r="R5" s="274">
        <v>42693.120000000003</v>
      </c>
      <c r="S5" s="116">
        <v>4</v>
      </c>
      <c r="T5" s="117">
        <f>U5/S5</f>
        <v>1982</v>
      </c>
      <c r="U5" s="116">
        <v>7928</v>
      </c>
      <c r="V5" s="118">
        <f t="shared" si="5"/>
        <v>4.08</v>
      </c>
      <c r="W5" s="118">
        <v>32346.240000000002</v>
      </c>
      <c r="X5" s="119">
        <v>4.2</v>
      </c>
      <c r="Y5" s="98">
        <f>Z5/X5</f>
        <v>3629.6428571428569</v>
      </c>
      <c r="Z5" s="119">
        <v>15244.5</v>
      </c>
      <c r="AA5" s="120">
        <f>AB5/Z5</f>
        <v>4.0699990160385715</v>
      </c>
      <c r="AB5" s="120">
        <v>62045.1</v>
      </c>
      <c r="AC5" s="121">
        <f>'Factor D Back Up'!D28</f>
        <v>0</v>
      </c>
      <c r="AD5" s="98">
        <f>'Factor D Back Up'!E28</f>
        <v>0</v>
      </c>
      <c r="AE5" s="121">
        <f>'Factor D Back Up'!F28</f>
        <v>0</v>
      </c>
      <c r="AF5" s="122" t="e">
        <f>'Factor D Back Up'!G28</f>
        <v>#DIV/0!</v>
      </c>
      <c r="AG5" s="122">
        <f>'Factor D Back Up'!H28</f>
        <v>0</v>
      </c>
      <c r="AH5" s="121">
        <f>'Factor D Back Up'!D29</f>
        <v>0</v>
      </c>
      <c r="AI5" s="98">
        <f>'Factor D Back Up'!E29</f>
        <v>0</v>
      </c>
      <c r="AJ5" s="121">
        <f>'Factor D Back Up'!F29</f>
        <v>0</v>
      </c>
      <c r="AK5" s="122" t="e">
        <f>'Factor D Back Up'!G29</f>
        <v>#DIV/0!</v>
      </c>
      <c r="AL5" s="122">
        <f>'Factor D Back Up'!H29</f>
        <v>0</v>
      </c>
      <c r="AM5" s="121">
        <f>'Factor D Back Up'!D30</f>
        <v>0</v>
      </c>
      <c r="AN5" s="121">
        <f>'Factor D Back Up'!E30</f>
        <v>0</v>
      </c>
      <c r="AO5" s="121">
        <f>'Factor D Back Up'!F30</f>
        <v>0</v>
      </c>
      <c r="AP5" s="122" t="e">
        <f>'Factor D Back Up'!G30</f>
        <v>#DIV/0!</v>
      </c>
      <c r="AQ5" s="122">
        <f>'Factor D Back Up'!H30</f>
        <v>0</v>
      </c>
      <c r="AR5" s="121">
        <f>'Factor D Back Up'!D31</f>
        <v>0</v>
      </c>
      <c r="AS5" s="121">
        <f>'Factor D Back Up'!E31</f>
        <v>0</v>
      </c>
      <c r="AT5" s="121">
        <f>'Factor D Back Up'!F31</f>
        <v>0</v>
      </c>
      <c r="AU5" s="122" t="e">
        <f>'Factor D Back Up'!G31</f>
        <v>#DIV/0!</v>
      </c>
      <c r="AV5" s="122">
        <f>'Factor D Back Up'!H31</f>
        <v>0</v>
      </c>
      <c r="AW5" s="121">
        <f>'Factor D Back Up'!D32</f>
        <v>0</v>
      </c>
      <c r="AX5" s="121">
        <f>'Factor D Back Up'!E32</f>
        <v>0</v>
      </c>
      <c r="AY5" s="121">
        <f>'Factor D Back Up'!F32</f>
        <v>0</v>
      </c>
      <c r="AZ5" s="121">
        <f>'Factor D Back Up'!G32</f>
        <v>5.05</v>
      </c>
      <c r="BA5" s="121">
        <f>'Factor D Back Up'!H32</f>
        <v>0</v>
      </c>
    </row>
    <row r="6" spans="1:53" x14ac:dyDescent="0.25">
      <c r="A6" s="110" t="s">
        <v>193</v>
      </c>
      <c r="B6" s="2" t="s">
        <v>184</v>
      </c>
      <c r="C6" s="2" t="s">
        <v>152</v>
      </c>
      <c r="D6" s="26">
        <v>309</v>
      </c>
      <c r="E6" s="22">
        <f t="shared" si="0"/>
        <v>85.750809061488667</v>
      </c>
      <c r="F6" s="26">
        <v>26497</v>
      </c>
      <c r="G6" s="24">
        <f t="shared" si="1"/>
        <v>16.192351964373326</v>
      </c>
      <c r="H6" s="274">
        <v>429048.75</v>
      </c>
      <c r="I6" s="21">
        <v>321</v>
      </c>
      <c r="J6" s="22">
        <f t="shared" ref="J6:J73" si="6">K6/I6</f>
        <v>126.80685358255452</v>
      </c>
      <c r="K6" s="21">
        <v>40705</v>
      </c>
      <c r="L6" s="24">
        <f t="shared" si="2"/>
        <v>16.13997346763297</v>
      </c>
      <c r="M6" s="274">
        <v>656977.62</v>
      </c>
      <c r="N6" s="21">
        <v>407</v>
      </c>
      <c r="O6" s="22">
        <f t="shared" ref="O6:O17" si="7">P6/N6</f>
        <v>132.47174447174447</v>
      </c>
      <c r="P6" s="21">
        <v>53916</v>
      </c>
      <c r="Q6" s="24">
        <f t="shared" si="3"/>
        <v>16.203983047703836</v>
      </c>
      <c r="R6" s="274">
        <v>873653.95</v>
      </c>
      <c r="S6" s="21">
        <v>380</v>
      </c>
      <c r="T6" s="22">
        <f t="shared" si="4"/>
        <v>118.57368421052631</v>
      </c>
      <c r="U6" s="21">
        <v>45058</v>
      </c>
      <c r="V6" s="24">
        <f t="shared" si="5"/>
        <v>16.20249722579786</v>
      </c>
      <c r="W6" s="24">
        <v>730052.12</v>
      </c>
      <c r="X6" s="102">
        <v>374</v>
      </c>
      <c r="Y6" s="71">
        <f t="shared" ref="Y6:Y52" si="8">Z6/X6</f>
        <v>95.639037433155082</v>
      </c>
      <c r="Z6" s="102">
        <v>35769</v>
      </c>
      <c r="AA6" s="94">
        <f t="shared" ref="AA6:AA52" si="9">AB6/Z6</f>
        <v>16.135059688557128</v>
      </c>
      <c r="AB6" s="94">
        <v>577134.94999999995</v>
      </c>
      <c r="AC6" s="7">
        <f>'Factor D Back Up'!D46</f>
        <v>549</v>
      </c>
      <c r="AD6" s="8">
        <f>'Factor D Back Up'!E46</f>
        <v>74.539162112932601</v>
      </c>
      <c r="AE6" s="7">
        <f>'Factor D Back Up'!F46</f>
        <v>40922</v>
      </c>
      <c r="AF6" s="5">
        <f>'Factor D Back Up'!G46</f>
        <v>16.234238307023116</v>
      </c>
      <c r="AG6" s="5">
        <f>'Factor D Back Up'!H46</f>
        <v>664337.5</v>
      </c>
      <c r="AH6" s="7">
        <f>'Factor D Back Up'!D47</f>
        <v>367</v>
      </c>
      <c r="AI6" s="8">
        <f>'Factor D Back Up'!E47</f>
        <v>79.155313351498634</v>
      </c>
      <c r="AJ6" s="7">
        <f>'Factor D Back Up'!F47</f>
        <v>29050</v>
      </c>
      <c r="AK6" s="5">
        <f>'Factor D Back Up'!G47</f>
        <v>16.2302495697074</v>
      </c>
      <c r="AL6" s="5">
        <f>'Factor D Back Up'!H47</f>
        <v>471488.75</v>
      </c>
      <c r="AM6" s="7">
        <f>'Factor D Back Up'!D48</f>
        <v>217</v>
      </c>
      <c r="AN6" s="7">
        <f>'Factor D Back Up'!E48</f>
        <v>73.723502304147459</v>
      </c>
      <c r="AO6" s="7">
        <f>'Factor D Back Up'!F48</f>
        <v>15998</v>
      </c>
      <c r="AP6" s="5">
        <f>'Factor D Back Up'!G48</f>
        <v>16.252375296912113</v>
      </c>
      <c r="AQ6" s="5">
        <f>'Factor D Back Up'!H48</f>
        <v>260005.5</v>
      </c>
      <c r="AR6" s="7">
        <f>'Factor D Back Up'!D49</f>
        <v>125</v>
      </c>
      <c r="AS6" s="7">
        <f>'Factor D Back Up'!E49</f>
        <v>93.688000000000002</v>
      </c>
      <c r="AT6" s="7">
        <f>'Factor D Back Up'!F49</f>
        <v>11711</v>
      </c>
      <c r="AU6" s="5">
        <f>'Factor D Back Up'!G49</f>
        <v>20.878682435317224</v>
      </c>
      <c r="AV6" s="5">
        <f>'Factor D Back Up'!H49</f>
        <v>244510.25</v>
      </c>
      <c r="AW6" s="7">
        <f>'Factor D Back Up'!D50</f>
        <v>306</v>
      </c>
      <c r="AX6" s="7">
        <f>'Factor D Back Up'!E50</f>
        <v>74.643900648852778</v>
      </c>
      <c r="AY6" s="7">
        <f>'Factor D Back Up'!F50</f>
        <v>22841.033598548951</v>
      </c>
      <c r="AZ6" s="7">
        <f>'Factor D Back Up'!G50</f>
        <v>25.26</v>
      </c>
      <c r="BA6" s="7">
        <f>'Factor D Back Up'!H50</f>
        <v>576964.50869934657</v>
      </c>
    </row>
    <row r="7" spans="1:53" x14ac:dyDescent="0.25">
      <c r="A7" s="110" t="s">
        <v>194</v>
      </c>
      <c r="B7" s="2" t="s">
        <v>184</v>
      </c>
      <c r="C7" s="2" t="s">
        <v>152</v>
      </c>
      <c r="D7" s="26">
        <v>53</v>
      </c>
      <c r="E7" s="22">
        <f t="shared" si="0"/>
        <v>21.018867924528301</v>
      </c>
      <c r="F7" s="26">
        <v>1114</v>
      </c>
      <c r="G7" s="24">
        <f t="shared" si="1"/>
        <v>15.230026929982047</v>
      </c>
      <c r="H7" s="274">
        <v>16966.25</v>
      </c>
      <c r="I7" s="21">
        <v>75</v>
      </c>
      <c r="J7" s="22">
        <f t="shared" si="6"/>
        <v>27.533333333333335</v>
      </c>
      <c r="K7" s="21">
        <v>2065</v>
      </c>
      <c r="L7" s="24">
        <f t="shared" si="2"/>
        <v>14.217917675544793</v>
      </c>
      <c r="M7" s="274">
        <v>29360</v>
      </c>
      <c r="N7" s="21">
        <v>93</v>
      </c>
      <c r="O7" s="22">
        <f t="shared" si="7"/>
        <v>29.634408602150536</v>
      </c>
      <c r="P7" s="21">
        <v>2756</v>
      </c>
      <c r="Q7" s="24">
        <f t="shared" si="3"/>
        <v>15.212264150943396</v>
      </c>
      <c r="R7" s="274">
        <v>41925</v>
      </c>
      <c r="S7" s="21">
        <v>55</v>
      </c>
      <c r="T7" s="22">
        <f t="shared" si="4"/>
        <v>17.454545454545453</v>
      </c>
      <c r="U7" s="21">
        <v>960</v>
      </c>
      <c r="V7" s="24">
        <f t="shared" si="5"/>
        <v>16.25</v>
      </c>
      <c r="W7" s="24">
        <v>15600</v>
      </c>
      <c r="X7" s="102">
        <v>52</v>
      </c>
      <c r="Y7" s="71">
        <f t="shared" si="8"/>
        <v>16.5</v>
      </c>
      <c r="Z7" s="102">
        <v>858</v>
      </c>
      <c r="AA7" s="94">
        <f t="shared" si="9"/>
        <v>16.248834498834498</v>
      </c>
      <c r="AB7" s="94">
        <v>13941.5</v>
      </c>
      <c r="AC7" s="7">
        <f>'Factor D Back Up'!D82</f>
        <v>54</v>
      </c>
      <c r="AD7" s="8">
        <f>'Factor D Back Up'!E82</f>
        <v>15.25925925925926</v>
      </c>
      <c r="AE7" s="7">
        <f>'Factor D Back Up'!F82</f>
        <v>824</v>
      </c>
      <c r="AF7" s="5">
        <f>'Factor D Back Up'!G82</f>
        <v>16.25</v>
      </c>
      <c r="AG7" s="5">
        <f>'Factor D Back Up'!H82</f>
        <v>13390</v>
      </c>
      <c r="AH7" s="7">
        <f>'Factor D Back Up'!D83</f>
        <v>51</v>
      </c>
      <c r="AI7" s="8">
        <f>'Factor D Back Up'!E83</f>
        <v>13.372549019607844</v>
      </c>
      <c r="AJ7" s="7">
        <f>'Factor D Back Up'!F83</f>
        <v>682</v>
      </c>
      <c r="AK7" s="5">
        <f>'Factor D Back Up'!G83</f>
        <v>16.25</v>
      </c>
      <c r="AL7" s="5">
        <f>'Factor D Back Up'!H83</f>
        <v>11082.5</v>
      </c>
      <c r="AM7" s="7">
        <f>'Factor D Back Up'!D84</f>
        <v>46</v>
      </c>
      <c r="AN7" s="7">
        <f>'Factor D Back Up'!E84</f>
        <v>18.434782608695652</v>
      </c>
      <c r="AO7" s="7">
        <f>'Factor D Back Up'!F84</f>
        <v>848</v>
      </c>
      <c r="AP7" s="5">
        <f>'Factor D Back Up'!G84</f>
        <v>16.244103773584907</v>
      </c>
      <c r="AQ7" s="5">
        <f>'Factor D Back Up'!H84</f>
        <v>13775</v>
      </c>
      <c r="AR7" s="7">
        <f>'Factor D Back Up'!D85</f>
        <v>17</v>
      </c>
      <c r="AS7" s="7">
        <f>'Factor D Back Up'!E85</f>
        <v>19.294117647058822</v>
      </c>
      <c r="AT7" s="7">
        <f>'Factor D Back Up'!F85</f>
        <v>328</v>
      </c>
      <c r="AU7" s="5">
        <f>'Factor D Back Up'!G85</f>
        <v>22.332317073170731</v>
      </c>
      <c r="AV7" s="5">
        <f>'Factor D Back Up'!H85</f>
        <v>7325</v>
      </c>
      <c r="AW7" s="7">
        <f>'Factor D Back Up'!D86</f>
        <v>52</v>
      </c>
      <c r="AX7" s="7">
        <f>'Factor D Back Up'!E86</f>
        <v>14.117907257844751</v>
      </c>
      <c r="AY7" s="7">
        <f>'Factor D Back Up'!F86</f>
        <v>734.131177407927</v>
      </c>
      <c r="AZ7" s="7">
        <f>'Factor D Back Up'!G86</f>
        <v>25.26</v>
      </c>
      <c r="BA7" s="7">
        <f>'Factor D Back Up'!H86</f>
        <v>18544.153541324238</v>
      </c>
    </row>
    <row r="8" spans="1:53" x14ac:dyDescent="0.25">
      <c r="A8" s="110" t="s">
        <v>195</v>
      </c>
      <c r="B8" s="2" t="s">
        <v>184</v>
      </c>
      <c r="C8" s="2" t="s">
        <v>152</v>
      </c>
      <c r="D8" s="26">
        <v>102</v>
      </c>
      <c r="E8" s="22">
        <f t="shared" si="0"/>
        <v>15.117647058823529</v>
      </c>
      <c r="F8" s="26">
        <v>1542</v>
      </c>
      <c r="G8" s="24">
        <f t="shared" si="1"/>
        <v>15.408560311284047</v>
      </c>
      <c r="H8" s="274">
        <v>23760</v>
      </c>
      <c r="I8" s="21">
        <v>93</v>
      </c>
      <c r="J8" s="22">
        <f t="shared" si="6"/>
        <v>36.021505376344088</v>
      </c>
      <c r="K8" s="21">
        <v>3350</v>
      </c>
      <c r="L8" s="24">
        <f t="shared" si="2"/>
        <v>15.480970149253732</v>
      </c>
      <c r="M8" s="274">
        <v>51861.25</v>
      </c>
      <c r="N8" s="21">
        <v>138</v>
      </c>
      <c r="O8" s="22">
        <f t="shared" si="7"/>
        <v>22.10144927536232</v>
      </c>
      <c r="P8" s="21">
        <v>3050</v>
      </c>
      <c r="Q8" s="24">
        <f t="shared" si="3"/>
        <v>15.204098360655738</v>
      </c>
      <c r="R8" s="274">
        <v>46372.5</v>
      </c>
      <c r="S8" s="21">
        <v>89</v>
      </c>
      <c r="T8" s="22">
        <f t="shared" si="4"/>
        <v>21.865168539325843</v>
      </c>
      <c r="U8" s="21">
        <v>1946</v>
      </c>
      <c r="V8" s="24">
        <f t="shared" si="5"/>
        <v>16.25</v>
      </c>
      <c r="W8" s="24">
        <v>31622.5</v>
      </c>
      <c r="X8" s="102">
        <v>104</v>
      </c>
      <c r="Y8" s="71">
        <f t="shared" si="8"/>
        <v>22.346153846153847</v>
      </c>
      <c r="Z8" s="102">
        <v>2324</v>
      </c>
      <c r="AA8" s="94">
        <f t="shared" si="9"/>
        <v>16.241394148020653</v>
      </c>
      <c r="AB8" s="94">
        <v>37745</v>
      </c>
      <c r="AC8" s="7">
        <f>'Factor D Back Up'!D100</f>
        <v>187</v>
      </c>
      <c r="AD8" s="8">
        <f>'Factor D Back Up'!E100</f>
        <v>27.058823529411764</v>
      </c>
      <c r="AE8" s="7">
        <f>'Factor D Back Up'!F100</f>
        <v>5060</v>
      </c>
      <c r="AF8" s="5">
        <f>'Factor D Back Up'!G100</f>
        <v>16.165019762845851</v>
      </c>
      <c r="AG8" s="5">
        <f>'Factor D Back Up'!H100</f>
        <v>81795</v>
      </c>
      <c r="AH8" s="7">
        <f>'Factor D Back Up'!D101</f>
        <v>156</v>
      </c>
      <c r="AI8" s="8">
        <f>'Factor D Back Up'!E101</f>
        <v>33.884615384615387</v>
      </c>
      <c r="AJ8" s="7">
        <f>'Factor D Back Up'!F101</f>
        <v>5286</v>
      </c>
      <c r="AK8" s="5">
        <f>'Factor D Back Up'!G101</f>
        <v>16.203887627695799</v>
      </c>
      <c r="AL8" s="5">
        <f>'Factor D Back Up'!H101</f>
        <v>85653.75</v>
      </c>
      <c r="AM8" s="7">
        <f>'Factor D Back Up'!D102</f>
        <v>144</v>
      </c>
      <c r="AN8" s="7">
        <f>'Factor D Back Up'!E102</f>
        <v>54.833333333333336</v>
      </c>
      <c r="AO8" s="7">
        <f>'Factor D Back Up'!F102</f>
        <v>7896</v>
      </c>
      <c r="AP8" s="5">
        <f>'Factor D Back Up'!G102</f>
        <v>16.233535967578522</v>
      </c>
      <c r="AQ8" s="5">
        <f>'Factor D Back Up'!H102</f>
        <v>128180</v>
      </c>
      <c r="AR8" s="7">
        <f>'Factor D Back Up'!D103</f>
        <v>123</v>
      </c>
      <c r="AS8" s="7">
        <f>'Factor D Back Up'!E103</f>
        <v>52.357723577235774</v>
      </c>
      <c r="AT8" s="7">
        <f>'Factor D Back Up'!F103</f>
        <v>6440</v>
      </c>
      <c r="AU8" s="5">
        <f>'Factor D Back Up'!G103</f>
        <v>22.313664596273291</v>
      </c>
      <c r="AV8" s="5">
        <f>'Factor D Back Up'!H103</f>
        <v>143700</v>
      </c>
      <c r="AW8" s="7">
        <f>'Factor D Back Up'!D104</f>
        <v>150</v>
      </c>
      <c r="AX8" s="7">
        <f>'Factor D Back Up'!E104</f>
        <v>51.251447669638821</v>
      </c>
      <c r="AY8" s="7">
        <f>'Factor D Back Up'!F104</f>
        <v>7687.7171504458229</v>
      </c>
      <c r="AZ8" s="7">
        <f>'Factor D Back Up'!G104</f>
        <v>25.26</v>
      </c>
      <c r="BA8" s="7">
        <f>'Factor D Back Up'!H104</f>
        <v>194191.7352202615</v>
      </c>
    </row>
    <row r="9" spans="1:53" x14ac:dyDescent="0.25">
      <c r="A9" s="110" t="s">
        <v>190</v>
      </c>
      <c r="B9" s="2" t="s">
        <v>184</v>
      </c>
      <c r="C9" s="2" t="s">
        <v>152</v>
      </c>
      <c r="D9" s="26">
        <v>36</v>
      </c>
      <c r="E9" s="22">
        <f t="shared" si="0"/>
        <v>1091.8611111111111</v>
      </c>
      <c r="F9" s="26">
        <v>39307</v>
      </c>
      <c r="G9" s="24">
        <f t="shared" si="1"/>
        <v>5.0728427506550995</v>
      </c>
      <c r="H9" s="274">
        <v>199398.23</v>
      </c>
      <c r="I9" s="21">
        <v>41</v>
      </c>
      <c r="J9" s="22">
        <f t="shared" si="6"/>
        <v>1470.0975609756097</v>
      </c>
      <c r="K9" s="21">
        <v>60274</v>
      </c>
      <c r="L9" s="24">
        <f t="shared" si="2"/>
        <v>5.0174207784451008</v>
      </c>
      <c r="M9" s="274">
        <v>302420.02</v>
      </c>
      <c r="N9" s="21">
        <v>48</v>
      </c>
      <c r="O9" s="22">
        <f t="shared" si="7"/>
        <v>1020.9583333333334</v>
      </c>
      <c r="P9" s="21">
        <v>49006</v>
      </c>
      <c r="Q9" s="24">
        <f t="shared" si="3"/>
        <v>4.9143839529853484</v>
      </c>
      <c r="R9" s="274">
        <v>240834.3</v>
      </c>
      <c r="S9" s="21">
        <v>64</v>
      </c>
      <c r="T9" s="22">
        <f t="shared" si="4"/>
        <v>864.921875</v>
      </c>
      <c r="U9" s="21">
        <v>55355</v>
      </c>
      <c r="V9" s="24">
        <f t="shared" si="5"/>
        <v>5.0765820612410808</v>
      </c>
      <c r="W9" s="24">
        <v>281014.2</v>
      </c>
      <c r="X9" s="102">
        <v>80</v>
      </c>
      <c r="Y9" s="71">
        <f t="shared" si="8"/>
        <v>1097.16975</v>
      </c>
      <c r="Z9" s="102">
        <v>87773.58</v>
      </c>
      <c r="AA9" s="94">
        <f t="shared" si="9"/>
        <v>5.1064914977832734</v>
      </c>
      <c r="AB9" s="94">
        <v>448215.03999999998</v>
      </c>
      <c r="AC9" s="7">
        <f>'Factor D Back Up'!D118</f>
        <v>158</v>
      </c>
      <c r="AD9" s="8">
        <f>'Factor D Back Up'!E118</f>
        <v>918.27848101265818</v>
      </c>
      <c r="AE9" s="7">
        <f>'Factor D Back Up'!F118</f>
        <v>145088</v>
      </c>
      <c r="AF9" s="5">
        <f>'Factor D Back Up'!G118</f>
        <v>4.9676165499558893</v>
      </c>
      <c r="AG9" s="5">
        <f>'Factor D Back Up'!H118</f>
        <v>720741.55</v>
      </c>
      <c r="AH9" s="7">
        <f>'Factor D Back Up'!D119</f>
        <v>216</v>
      </c>
      <c r="AI9" s="8">
        <f>'Factor D Back Up'!E119</f>
        <v>790.60185185185185</v>
      </c>
      <c r="AJ9" s="7">
        <f>'Factor D Back Up'!F119</f>
        <v>170770</v>
      </c>
      <c r="AK9" s="5">
        <f>'Factor D Back Up'!G119</f>
        <v>4.9888394917140015</v>
      </c>
      <c r="AL9" s="5">
        <f>'Factor D Back Up'!H119</f>
        <v>851944.12</v>
      </c>
      <c r="AM9" s="7">
        <f>'Factor D Back Up'!D120</f>
        <v>159</v>
      </c>
      <c r="AN9" s="7">
        <f>'Factor D Back Up'!E120</f>
        <v>1120.6100628930817</v>
      </c>
      <c r="AO9" s="7">
        <f>'Factor D Back Up'!F120</f>
        <v>178177</v>
      </c>
      <c r="AP9" s="5">
        <f>'Factor D Back Up'!G120</f>
        <v>4.9828046268598083</v>
      </c>
      <c r="AQ9" s="5">
        <f>'Factor D Back Up'!H120</f>
        <v>887821.18</v>
      </c>
      <c r="AR9" s="7">
        <f>'Factor D Back Up'!D121</f>
        <v>167</v>
      </c>
      <c r="AS9" s="7">
        <f>'Factor D Back Up'!E121</f>
        <v>924.07185628742513</v>
      </c>
      <c r="AT9" s="7">
        <f>'Factor D Back Up'!F121</f>
        <v>154320</v>
      </c>
      <c r="AU9" s="5">
        <f>'Factor D Back Up'!G121</f>
        <v>5.0876476801451531</v>
      </c>
      <c r="AV9" s="5">
        <f>'Factor D Back Up'!H121</f>
        <v>785125.79</v>
      </c>
      <c r="AW9" s="7">
        <f>'Factor D Back Up'!D122</f>
        <v>181</v>
      </c>
      <c r="AX9" s="7">
        <f>'Factor D Back Up'!E122</f>
        <v>858.06822514615794</v>
      </c>
      <c r="AY9" s="7">
        <f>'Factor D Back Up'!F122</f>
        <v>155310.34875145458</v>
      </c>
      <c r="AZ9" s="7">
        <f>'Factor D Back Up'!G122</f>
        <v>5.18</v>
      </c>
      <c r="BA9" s="7">
        <f>'Factor D Back Up'!H122</f>
        <v>804507.6065325347</v>
      </c>
    </row>
    <row r="10" spans="1:53" x14ac:dyDescent="0.25">
      <c r="A10" s="110" t="s">
        <v>191</v>
      </c>
      <c r="B10" s="2" t="s">
        <v>184</v>
      </c>
      <c r="C10" s="2" t="s">
        <v>183</v>
      </c>
      <c r="D10" s="26">
        <v>77</v>
      </c>
      <c r="E10" s="23">
        <f t="shared" si="0"/>
        <v>42.103896103896105</v>
      </c>
      <c r="F10" s="26">
        <v>3242</v>
      </c>
      <c r="G10" s="25">
        <f t="shared" si="1"/>
        <v>275.46063541024057</v>
      </c>
      <c r="H10" s="274">
        <v>893043.38</v>
      </c>
      <c r="I10" s="26">
        <v>92</v>
      </c>
      <c r="J10" s="23">
        <f t="shared" si="6"/>
        <v>28.271739130434781</v>
      </c>
      <c r="K10" s="26">
        <v>2601</v>
      </c>
      <c r="L10" s="25">
        <f t="shared" si="2"/>
        <v>310.23836985774705</v>
      </c>
      <c r="M10" s="274">
        <v>806930</v>
      </c>
      <c r="N10" s="26">
        <v>75</v>
      </c>
      <c r="O10" s="23">
        <f t="shared" si="7"/>
        <v>20.053333333333335</v>
      </c>
      <c r="P10" s="26">
        <v>1504</v>
      </c>
      <c r="Q10" s="25">
        <f t="shared" si="3"/>
        <v>309.89694148936172</v>
      </c>
      <c r="R10" s="274">
        <v>466085</v>
      </c>
      <c r="S10" s="26">
        <v>76</v>
      </c>
      <c r="T10" s="23">
        <f t="shared" si="4"/>
        <v>24.80263157894737</v>
      </c>
      <c r="U10" s="26">
        <v>1885</v>
      </c>
      <c r="V10" s="25">
        <f t="shared" si="5"/>
        <v>308.03692307692307</v>
      </c>
      <c r="W10" s="25">
        <v>580649.6</v>
      </c>
      <c r="X10" s="102">
        <v>73</v>
      </c>
      <c r="Y10" s="71">
        <f t="shared" si="8"/>
        <v>18</v>
      </c>
      <c r="Z10" s="102">
        <v>1314</v>
      </c>
      <c r="AA10" s="94">
        <f t="shared" si="9"/>
        <v>309.88949771689499</v>
      </c>
      <c r="AB10" s="94">
        <v>407194.8</v>
      </c>
      <c r="AC10" s="15">
        <f>'Factor D Back Up'!D136</f>
        <v>90</v>
      </c>
      <c r="AD10" s="15">
        <f>'Factor D Back Up'!E136</f>
        <v>16.622222222222224</v>
      </c>
      <c r="AE10" s="15">
        <f>'Factor D Back Up'!F136</f>
        <v>1496</v>
      </c>
      <c r="AF10" s="5">
        <f>'Factor D Back Up'!G136</f>
        <v>307.95390374331549</v>
      </c>
      <c r="AG10" s="5">
        <f>'Factor D Back Up'!H136</f>
        <v>460699.04</v>
      </c>
      <c r="AH10" s="15">
        <f>'Factor D Back Up'!D137</f>
        <v>123</v>
      </c>
      <c r="AI10" s="15">
        <f>'Factor D Back Up'!E137</f>
        <v>29.772357723577237</v>
      </c>
      <c r="AJ10" s="15">
        <f>'Factor D Back Up'!F137</f>
        <v>3662</v>
      </c>
      <c r="AK10" s="15">
        <f>'Factor D Back Up'!G137</f>
        <v>310</v>
      </c>
      <c r="AL10" s="15">
        <f>'Factor D Back Up'!H137</f>
        <v>1135220</v>
      </c>
      <c r="AM10" s="15">
        <f>'Factor D Back Up'!D138</f>
        <v>95</v>
      </c>
      <c r="AN10" s="15">
        <f>'Factor D Back Up'!E138</f>
        <v>38.210526315789473</v>
      </c>
      <c r="AO10" s="15">
        <f>'Factor D Back Up'!F138</f>
        <v>3630</v>
      </c>
      <c r="AP10" s="15">
        <f>'Factor D Back Up'!G138</f>
        <v>311.50984022038568</v>
      </c>
      <c r="AQ10" s="15">
        <f>'Factor D Back Up'!H138</f>
        <v>1130780.72</v>
      </c>
      <c r="AR10" s="15">
        <f>'Factor D Back Up'!D139</f>
        <v>179</v>
      </c>
      <c r="AS10" s="15">
        <f>'Factor D Back Up'!E139</f>
        <v>21.145251396648046</v>
      </c>
      <c r="AT10" s="15">
        <f>'Factor D Back Up'!F139</f>
        <v>3785</v>
      </c>
      <c r="AU10" s="15">
        <f>'Factor D Back Up'!G139</f>
        <v>393.88500660501984</v>
      </c>
      <c r="AV10" s="15">
        <f>'Factor D Back Up'!H139</f>
        <v>1490854.75</v>
      </c>
      <c r="AW10" s="15">
        <f>'Factor D Back Up'!D140</f>
        <v>115</v>
      </c>
      <c r="AX10" s="15">
        <f>'Factor D Back Up'!E140</f>
        <v>30</v>
      </c>
      <c r="AY10" s="15">
        <f>'Factor D Back Up'!F140</f>
        <v>3450</v>
      </c>
      <c r="AZ10" s="15">
        <f>'Factor D Back Up'!G140</f>
        <v>404.1</v>
      </c>
      <c r="BA10" s="15">
        <f>'Factor D Back Up'!H140</f>
        <v>1394145</v>
      </c>
    </row>
    <row r="11" spans="1:53" x14ac:dyDescent="0.25">
      <c r="A11" s="110" t="s">
        <v>192</v>
      </c>
      <c r="B11" s="2" t="s">
        <v>202</v>
      </c>
      <c r="C11" s="2" t="s">
        <v>152</v>
      </c>
      <c r="D11" s="26">
        <v>0</v>
      </c>
      <c r="E11" s="23">
        <v>0</v>
      </c>
      <c r="F11" s="26">
        <v>0</v>
      </c>
      <c r="G11" s="25">
        <v>0</v>
      </c>
      <c r="H11" s="25">
        <v>0</v>
      </c>
      <c r="I11" s="26">
        <v>0</v>
      </c>
      <c r="J11" s="23">
        <v>0</v>
      </c>
      <c r="K11" s="26">
        <v>0</v>
      </c>
      <c r="L11" s="25">
        <v>0</v>
      </c>
      <c r="M11" s="25">
        <v>0</v>
      </c>
      <c r="N11" s="26">
        <v>0</v>
      </c>
      <c r="O11" s="23">
        <v>0</v>
      </c>
      <c r="P11" s="26">
        <v>0</v>
      </c>
      <c r="Q11" s="25">
        <v>0</v>
      </c>
      <c r="R11" s="25">
        <v>0</v>
      </c>
      <c r="S11" s="26">
        <v>0</v>
      </c>
      <c r="T11" s="23">
        <v>0</v>
      </c>
      <c r="U11" s="26">
        <v>0</v>
      </c>
      <c r="V11" s="25">
        <v>0</v>
      </c>
      <c r="W11" s="25">
        <v>0</v>
      </c>
      <c r="X11" s="102">
        <v>0</v>
      </c>
      <c r="Y11" s="71">
        <v>0</v>
      </c>
      <c r="Z11" s="102">
        <v>0</v>
      </c>
      <c r="AA11" s="94">
        <v>0</v>
      </c>
      <c r="AB11" s="94">
        <v>0</v>
      </c>
      <c r="AC11" s="15">
        <v>0</v>
      </c>
      <c r="AD11" s="15">
        <v>0</v>
      </c>
      <c r="AE11" s="15">
        <v>0</v>
      </c>
      <c r="AF11" s="5">
        <v>0</v>
      </c>
      <c r="AG11" s="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row>
    <row r="12" spans="1:53" x14ac:dyDescent="0.25">
      <c r="A12" s="110" t="s">
        <v>196</v>
      </c>
      <c r="B12" s="2" t="s">
        <v>129</v>
      </c>
      <c r="C12" s="2" t="s">
        <v>152</v>
      </c>
      <c r="D12" s="26">
        <v>0</v>
      </c>
      <c r="E12" s="23">
        <v>0</v>
      </c>
      <c r="F12" s="26">
        <v>0</v>
      </c>
      <c r="G12" s="25">
        <v>0</v>
      </c>
      <c r="H12" s="25">
        <v>0</v>
      </c>
      <c r="I12" s="26">
        <v>0</v>
      </c>
      <c r="J12" s="26">
        <v>0</v>
      </c>
      <c r="K12" s="26">
        <v>0</v>
      </c>
      <c r="L12" s="25">
        <v>0</v>
      </c>
      <c r="M12" s="25">
        <v>0</v>
      </c>
      <c r="N12" s="26">
        <v>5</v>
      </c>
      <c r="O12" s="22">
        <f t="shared" si="7"/>
        <v>12.6</v>
      </c>
      <c r="P12" s="26">
        <v>63</v>
      </c>
      <c r="Q12" s="24">
        <f t="shared" si="3"/>
        <v>32.25</v>
      </c>
      <c r="R12" s="274">
        <v>2031.75</v>
      </c>
      <c r="S12" s="26">
        <v>5</v>
      </c>
      <c r="T12" s="22">
        <f t="shared" si="4"/>
        <v>1.6</v>
      </c>
      <c r="U12" s="26">
        <v>8</v>
      </c>
      <c r="V12" s="24">
        <f t="shared" ref="V12:V13" si="10">W12/U12</f>
        <v>32.25</v>
      </c>
      <c r="W12" s="25">
        <v>258</v>
      </c>
      <c r="X12" s="102">
        <v>0</v>
      </c>
      <c r="Y12" s="71">
        <v>0</v>
      </c>
      <c r="Z12" s="102">
        <v>0</v>
      </c>
      <c r="AA12" s="94">
        <v>0</v>
      </c>
      <c r="AB12" s="94">
        <v>0</v>
      </c>
      <c r="AC12" s="15">
        <v>0</v>
      </c>
      <c r="AD12" s="15">
        <v>0</v>
      </c>
      <c r="AE12" s="15" t="e">
        <f>'Factor D Back Up'!#REF!</f>
        <v>#REF!</v>
      </c>
      <c r="AF12" s="5" t="e">
        <f>'Factor D Back Up'!#REF!</f>
        <v>#REF!</v>
      </c>
      <c r="AG12" s="5" t="e">
        <f>'Factor D Back Up'!#REF!</f>
        <v>#REF!</v>
      </c>
      <c r="AH12" s="15" t="e">
        <f>'Factor D Back Up'!#REF!</f>
        <v>#REF!</v>
      </c>
      <c r="AI12" s="15" t="e">
        <f>'Factor D Back Up'!#REF!</f>
        <v>#REF!</v>
      </c>
      <c r="AJ12" s="15" t="e">
        <f>'Factor D Back Up'!#REF!</f>
        <v>#REF!</v>
      </c>
      <c r="AK12" s="15" t="e">
        <f>'Factor D Back Up'!#REF!</f>
        <v>#REF!</v>
      </c>
      <c r="AL12" s="15" t="e">
        <f>'Factor D Back Up'!#REF!</f>
        <v>#REF!</v>
      </c>
      <c r="AM12" s="15" t="e">
        <f>'Factor D Back Up'!#REF!</f>
        <v>#REF!</v>
      </c>
      <c r="AN12" s="15" t="e">
        <f>'Factor D Back Up'!#REF!</f>
        <v>#REF!</v>
      </c>
      <c r="AO12" s="15" t="e">
        <f>'Factor D Back Up'!#REF!</f>
        <v>#REF!</v>
      </c>
      <c r="AP12" s="15" t="e">
        <f>'Factor D Back Up'!#REF!</f>
        <v>#REF!</v>
      </c>
      <c r="AQ12" s="15" t="e">
        <f>'Factor D Back Up'!#REF!</f>
        <v>#REF!</v>
      </c>
      <c r="AR12" s="15" t="e">
        <f>'Factor D Back Up'!#REF!</f>
        <v>#REF!</v>
      </c>
      <c r="AS12" s="15" t="e">
        <f>'Factor D Back Up'!#REF!</f>
        <v>#REF!</v>
      </c>
      <c r="AT12" s="15" t="e">
        <f>'Factor D Back Up'!#REF!</f>
        <v>#REF!</v>
      </c>
      <c r="AU12" s="15" t="e">
        <f>'Factor D Back Up'!#REF!</f>
        <v>#REF!</v>
      </c>
      <c r="AV12" s="15" t="e">
        <f>'Factor D Back Up'!#REF!</f>
        <v>#REF!</v>
      </c>
      <c r="AW12" s="15" t="e">
        <f>'Factor D Back Up'!#REF!</f>
        <v>#REF!</v>
      </c>
      <c r="AX12" s="15" t="e">
        <f>'Factor D Back Up'!#REF!</f>
        <v>#REF!</v>
      </c>
      <c r="AY12" s="15" t="e">
        <f>'Factor D Back Up'!#REF!</f>
        <v>#REF!</v>
      </c>
      <c r="AZ12" s="15" t="e">
        <f>'Factor D Back Up'!#REF!</f>
        <v>#REF!</v>
      </c>
      <c r="BA12" s="15" t="e">
        <f>'Factor D Back Up'!#REF!</f>
        <v>#REF!</v>
      </c>
    </row>
    <row r="13" spans="1:53" x14ac:dyDescent="0.25">
      <c r="A13" s="110" t="s">
        <v>197</v>
      </c>
      <c r="B13" s="2" t="s">
        <v>184</v>
      </c>
      <c r="C13" s="2" t="s">
        <v>152</v>
      </c>
      <c r="D13" s="26">
        <v>0</v>
      </c>
      <c r="E13" s="23">
        <v>0</v>
      </c>
      <c r="F13" s="26">
        <v>0</v>
      </c>
      <c r="G13" s="25">
        <v>0</v>
      </c>
      <c r="H13" s="25">
        <v>0</v>
      </c>
      <c r="I13" s="26">
        <v>2</v>
      </c>
      <c r="J13" s="23">
        <f t="shared" si="6"/>
        <v>19.5</v>
      </c>
      <c r="K13" s="26">
        <v>39</v>
      </c>
      <c r="L13" s="25">
        <f t="shared" si="2"/>
        <v>33.009743589743593</v>
      </c>
      <c r="M13" s="274">
        <v>1287.3800000000001</v>
      </c>
      <c r="N13" s="26">
        <v>10</v>
      </c>
      <c r="O13" s="22">
        <f t="shared" si="7"/>
        <v>40.1</v>
      </c>
      <c r="P13" s="26">
        <v>401</v>
      </c>
      <c r="Q13" s="24">
        <f t="shared" si="3"/>
        <v>33.54</v>
      </c>
      <c r="R13" s="274">
        <v>13449.54</v>
      </c>
      <c r="S13" s="26">
        <v>9</v>
      </c>
      <c r="T13" s="22">
        <f t="shared" si="4"/>
        <v>6.5555555555555554</v>
      </c>
      <c r="U13" s="26">
        <v>59</v>
      </c>
      <c r="V13" s="24">
        <f t="shared" si="10"/>
        <v>33.54</v>
      </c>
      <c r="W13" s="25">
        <v>1978.86</v>
      </c>
      <c r="X13" s="102">
        <v>0</v>
      </c>
      <c r="Y13" s="71">
        <v>0</v>
      </c>
      <c r="Z13" s="102">
        <v>0</v>
      </c>
      <c r="AA13" s="94">
        <v>0</v>
      </c>
      <c r="AB13" s="94">
        <v>0</v>
      </c>
      <c r="AC13" s="15">
        <v>0</v>
      </c>
      <c r="AD13" s="15">
        <v>0</v>
      </c>
      <c r="AE13" s="15" t="e">
        <f>'Factor D Back Up'!#REF!</f>
        <v>#REF!</v>
      </c>
      <c r="AF13" s="5" t="e">
        <f>'Factor D Back Up'!#REF!</f>
        <v>#REF!</v>
      </c>
      <c r="AG13" s="5" t="e">
        <f>'Factor D Back Up'!#REF!</f>
        <v>#REF!</v>
      </c>
      <c r="AH13" s="15" t="e">
        <f>'Factor D Back Up'!#REF!</f>
        <v>#REF!</v>
      </c>
      <c r="AI13" s="15" t="e">
        <f>'Factor D Back Up'!#REF!</f>
        <v>#REF!</v>
      </c>
      <c r="AJ13" s="15" t="e">
        <f>'Factor D Back Up'!#REF!</f>
        <v>#REF!</v>
      </c>
      <c r="AK13" s="15" t="e">
        <f>'Factor D Back Up'!#REF!</f>
        <v>#REF!</v>
      </c>
      <c r="AL13" s="15" t="e">
        <f>'Factor D Back Up'!#REF!</f>
        <v>#REF!</v>
      </c>
      <c r="AM13" s="15" t="e">
        <f>'Factor D Back Up'!#REF!</f>
        <v>#REF!</v>
      </c>
      <c r="AN13" s="15" t="e">
        <f>'Factor D Back Up'!#REF!</f>
        <v>#REF!</v>
      </c>
      <c r="AO13" s="15" t="e">
        <f>'Factor D Back Up'!#REF!</f>
        <v>#REF!</v>
      </c>
      <c r="AP13" s="15" t="e">
        <f>'Factor D Back Up'!#REF!</f>
        <v>#REF!</v>
      </c>
      <c r="AQ13" s="15" t="e">
        <f>'Factor D Back Up'!#REF!</f>
        <v>#REF!</v>
      </c>
      <c r="AR13" s="15" t="e">
        <f>'Factor D Back Up'!#REF!</f>
        <v>#REF!</v>
      </c>
      <c r="AS13" s="15" t="e">
        <f>'Factor D Back Up'!#REF!</f>
        <v>#REF!</v>
      </c>
      <c r="AT13" s="15" t="e">
        <f>'Factor D Back Up'!#REF!</f>
        <v>#REF!</v>
      </c>
      <c r="AU13" s="15" t="e">
        <f>'Factor D Back Up'!#REF!</f>
        <v>#REF!</v>
      </c>
      <c r="AV13" s="15" t="e">
        <f>'Factor D Back Up'!#REF!</f>
        <v>#REF!</v>
      </c>
      <c r="AW13" s="15" t="e">
        <f>'Factor D Back Up'!#REF!</f>
        <v>#REF!</v>
      </c>
      <c r="AX13" s="15" t="e">
        <f>'Factor D Back Up'!#REF!</f>
        <v>#REF!</v>
      </c>
      <c r="AY13" s="15" t="e">
        <f>'Factor D Back Up'!#REF!</f>
        <v>#REF!</v>
      </c>
      <c r="AZ13" s="15" t="e">
        <f>'Factor D Back Up'!#REF!</f>
        <v>#REF!</v>
      </c>
      <c r="BA13" s="15" t="e">
        <f>'Factor D Back Up'!#REF!</f>
        <v>#REF!</v>
      </c>
    </row>
    <row r="14" spans="1:53" x14ac:dyDescent="0.25">
      <c r="A14" s="110" t="s">
        <v>198</v>
      </c>
      <c r="B14" s="2" t="s">
        <v>184</v>
      </c>
      <c r="C14" s="2" t="s">
        <v>152</v>
      </c>
      <c r="D14" s="26">
        <v>0</v>
      </c>
      <c r="E14" s="23">
        <v>0</v>
      </c>
      <c r="F14" s="26">
        <v>0</v>
      </c>
      <c r="G14" s="25">
        <v>0</v>
      </c>
      <c r="H14" s="25">
        <v>0</v>
      </c>
      <c r="I14" s="21">
        <v>11</v>
      </c>
      <c r="J14" s="23">
        <f t="shared" si="6"/>
        <v>20.09090909090909</v>
      </c>
      <c r="K14" s="21">
        <v>221</v>
      </c>
      <c r="L14" s="25">
        <f t="shared" si="2"/>
        <v>26.3</v>
      </c>
      <c r="M14" s="274">
        <v>5812.3</v>
      </c>
      <c r="N14" s="21">
        <v>16</v>
      </c>
      <c r="O14" s="22">
        <f t="shared" si="7"/>
        <v>31</v>
      </c>
      <c r="P14" s="21">
        <v>496</v>
      </c>
      <c r="Q14" s="24">
        <f t="shared" si="3"/>
        <v>26.299999999999997</v>
      </c>
      <c r="R14" s="274">
        <v>13044.8</v>
      </c>
      <c r="S14" s="21">
        <v>14</v>
      </c>
      <c r="T14" s="22">
        <f t="shared" si="4"/>
        <v>31.857142857142858</v>
      </c>
      <c r="U14" s="21">
        <v>446</v>
      </c>
      <c r="V14" s="24">
        <f>W14/U14</f>
        <v>26.299999999999997</v>
      </c>
      <c r="W14" s="24">
        <v>11729.8</v>
      </c>
      <c r="X14" s="102">
        <v>12</v>
      </c>
      <c r="Y14" s="71">
        <f t="shared" si="8"/>
        <v>28.333333333333332</v>
      </c>
      <c r="Z14" s="102">
        <v>340</v>
      </c>
      <c r="AA14" s="94">
        <f t="shared" si="9"/>
        <v>26.3</v>
      </c>
      <c r="AB14" s="94">
        <v>8942</v>
      </c>
      <c r="AC14" s="7">
        <v>0</v>
      </c>
      <c r="AD14" s="7">
        <v>0</v>
      </c>
      <c r="AE14" s="7" t="e">
        <f>'Factor D Back Up'!#REF!</f>
        <v>#REF!</v>
      </c>
      <c r="AF14" s="5" t="e">
        <f>'Factor D Back Up'!#REF!</f>
        <v>#REF!</v>
      </c>
      <c r="AG14" s="5" t="e">
        <f>'Factor D Back Up'!#REF!</f>
        <v>#REF!</v>
      </c>
      <c r="AH14" s="7" t="e">
        <f>'Factor D Back Up'!#REF!</f>
        <v>#REF!</v>
      </c>
      <c r="AI14" s="7" t="e">
        <f>'Factor D Back Up'!#REF!</f>
        <v>#REF!</v>
      </c>
      <c r="AJ14" s="7" t="e">
        <f>'Factor D Back Up'!#REF!</f>
        <v>#REF!</v>
      </c>
      <c r="AK14" s="7" t="e">
        <f>'Factor D Back Up'!#REF!</f>
        <v>#REF!</v>
      </c>
      <c r="AL14" s="7" t="e">
        <f>'Factor D Back Up'!#REF!</f>
        <v>#REF!</v>
      </c>
      <c r="AM14" s="7" t="e">
        <f>'Factor D Back Up'!#REF!</f>
        <v>#REF!</v>
      </c>
      <c r="AN14" s="7" t="e">
        <f>'Factor D Back Up'!#REF!</f>
        <v>#REF!</v>
      </c>
      <c r="AO14" s="7" t="e">
        <f>'Factor D Back Up'!#REF!</f>
        <v>#REF!</v>
      </c>
      <c r="AP14" s="7" t="e">
        <f>'Factor D Back Up'!#REF!</f>
        <v>#REF!</v>
      </c>
      <c r="AQ14" s="7" t="e">
        <f>'Factor D Back Up'!#REF!</f>
        <v>#REF!</v>
      </c>
      <c r="AR14" s="7" t="e">
        <f>'Factor D Back Up'!#REF!</f>
        <v>#REF!</v>
      </c>
      <c r="AS14" s="7" t="e">
        <f>'Factor D Back Up'!#REF!</f>
        <v>#REF!</v>
      </c>
      <c r="AT14" s="7" t="e">
        <f>'Factor D Back Up'!#REF!</f>
        <v>#REF!</v>
      </c>
      <c r="AU14" s="7" t="e">
        <f>'Factor D Back Up'!#REF!</f>
        <v>#REF!</v>
      </c>
      <c r="AV14" s="7" t="e">
        <f>'Factor D Back Up'!#REF!</f>
        <v>#REF!</v>
      </c>
      <c r="AW14" s="7" t="e">
        <f>'Factor D Back Up'!#REF!</f>
        <v>#REF!</v>
      </c>
      <c r="AX14" s="7" t="e">
        <f>'Factor D Back Up'!#REF!</f>
        <v>#REF!</v>
      </c>
      <c r="AY14" s="7" t="e">
        <f>'Factor D Back Up'!#REF!</f>
        <v>#REF!</v>
      </c>
      <c r="AZ14" s="7" t="e">
        <f>'Factor D Back Up'!#REF!</f>
        <v>#REF!</v>
      </c>
      <c r="BA14" s="7" t="e">
        <f>'Factor D Back Up'!#REF!</f>
        <v>#REF!</v>
      </c>
    </row>
    <row r="15" spans="1:53" x14ac:dyDescent="0.25">
      <c r="A15" s="110" t="s">
        <v>201</v>
      </c>
      <c r="B15" s="2" t="s">
        <v>184</v>
      </c>
      <c r="C15" s="2" t="s">
        <v>152</v>
      </c>
      <c r="D15" s="21">
        <v>48</v>
      </c>
      <c r="E15" s="22">
        <f t="shared" si="0"/>
        <v>37.354166666666664</v>
      </c>
      <c r="F15" s="21">
        <v>1793</v>
      </c>
      <c r="G15" s="25">
        <f t="shared" si="1"/>
        <v>15</v>
      </c>
      <c r="H15" s="274">
        <v>26895</v>
      </c>
      <c r="I15" s="21">
        <v>39</v>
      </c>
      <c r="J15" s="22">
        <f t="shared" si="6"/>
        <v>55.897435897435898</v>
      </c>
      <c r="K15" s="21">
        <v>2180</v>
      </c>
      <c r="L15" s="24">
        <f t="shared" si="2"/>
        <v>15</v>
      </c>
      <c r="M15" s="274">
        <v>32700</v>
      </c>
      <c r="N15" s="21">
        <v>18</v>
      </c>
      <c r="O15" s="22">
        <f t="shared" si="7"/>
        <v>138.72222222222223</v>
      </c>
      <c r="P15" s="21">
        <v>2497</v>
      </c>
      <c r="Q15" s="24">
        <f t="shared" si="3"/>
        <v>15</v>
      </c>
      <c r="R15" s="274">
        <v>37455</v>
      </c>
      <c r="S15" s="21">
        <v>9</v>
      </c>
      <c r="T15" s="22">
        <f t="shared" si="4"/>
        <v>78.333333333333329</v>
      </c>
      <c r="U15" s="21">
        <v>705</v>
      </c>
      <c r="V15" s="24">
        <f t="shared" si="5"/>
        <v>14.971631205673759</v>
      </c>
      <c r="W15" s="24">
        <v>10555</v>
      </c>
      <c r="X15" s="102">
        <v>9</v>
      </c>
      <c r="Y15" s="71">
        <f t="shared" si="8"/>
        <v>78.333333333333329</v>
      </c>
      <c r="Z15" s="102">
        <v>705</v>
      </c>
      <c r="AA15" s="94">
        <f t="shared" si="9"/>
        <v>14.971631205673759</v>
      </c>
      <c r="AB15" s="94">
        <v>10555</v>
      </c>
      <c r="AC15" s="7">
        <f>'Factor D Back Up'!D172</f>
        <v>5</v>
      </c>
      <c r="AD15" s="7">
        <f>'Factor D Back Up'!E172</f>
        <v>30</v>
      </c>
      <c r="AE15" s="7">
        <f>'Factor D Back Up'!F172</f>
        <v>150</v>
      </c>
      <c r="AF15" s="5">
        <f>'Factor D Back Up'!G172</f>
        <v>15</v>
      </c>
      <c r="AG15" s="5">
        <f>'Factor D Back Up'!H172</f>
        <v>2250</v>
      </c>
      <c r="AH15" s="7">
        <f>'Factor D Back Up'!D173</f>
        <v>5</v>
      </c>
      <c r="AI15" s="7">
        <f>'Factor D Back Up'!E173</f>
        <v>6.4</v>
      </c>
      <c r="AJ15" s="7">
        <f>'Factor D Back Up'!F173</f>
        <v>32</v>
      </c>
      <c r="AK15" s="7">
        <f>'Factor D Back Up'!G173</f>
        <v>15</v>
      </c>
      <c r="AL15" s="7">
        <f>'Factor D Back Up'!H173</f>
        <v>480</v>
      </c>
      <c r="AM15" s="7">
        <f>'Factor D Back Up'!D174</f>
        <v>2</v>
      </c>
      <c r="AN15" s="7">
        <f>'Factor D Back Up'!E174</f>
        <v>99.5</v>
      </c>
      <c r="AO15" s="7">
        <f>'Factor D Back Up'!F174</f>
        <v>199</v>
      </c>
      <c r="AP15" s="7">
        <f>'Factor D Back Up'!G174</f>
        <v>15</v>
      </c>
      <c r="AQ15" s="7">
        <f>'Factor D Back Up'!H174</f>
        <v>2985</v>
      </c>
      <c r="AR15" s="7">
        <f>'Factor D Back Up'!D175</f>
        <v>1</v>
      </c>
      <c r="AS15" s="7">
        <f>'Factor D Back Up'!E175</f>
        <v>18</v>
      </c>
      <c r="AT15" s="7">
        <f>'Factor D Back Up'!F175</f>
        <v>18</v>
      </c>
      <c r="AU15" s="7">
        <f>'Factor D Back Up'!G175</f>
        <v>15.200000000000001</v>
      </c>
      <c r="AV15" s="7">
        <f>'Factor D Back Up'!H175</f>
        <v>273.60000000000002</v>
      </c>
      <c r="AW15" s="7">
        <f>'Factor D Back Up'!D176</f>
        <v>0</v>
      </c>
      <c r="AX15" s="7">
        <f>'Factor D Back Up'!E176</f>
        <v>32.078751187084521</v>
      </c>
      <c r="AY15" s="7">
        <f>'Factor D Back Up'!F176</f>
        <v>0</v>
      </c>
      <c r="AZ15" s="7">
        <f>'Factor D Back Up'!G176</f>
        <v>15.36</v>
      </c>
      <c r="BA15" s="7">
        <f>'Factor D Back Up'!H176</f>
        <v>0</v>
      </c>
    </row>
    <row r="16" spans="1:53" x14ac:dyDescent="0.25">
      <c r="A16" s="110" t="s">
        <v>200</v>
      </c>
      <c r="B16" s="2" t="s">
        <v>184</v>
      </c>
      <c r="C16" s="2" t="s">
        <v>152</v>
      </c>
      <c r="D16" s="21">
        <v>0</v>
      </c>
      <c r="E16" s="22">
        <v>0</v>
      </c>
      <c r="F16" s="21">
        <v>0</v>
      </c>
      <c r="G16" s="25">
        <v>0</v>
      </c>
      <c r="H16" s="24">
        <v>0</v>
      </c>
      <c r="I16" s="21">
        <v>0</v>
      </c>
      <c r="J16" s="22">
        <v>0</v>
      </c>
      <c r="K16" s="21">
        <v>0</v>
      </c>
      <c r="L16" s="24">
        <v>0</v>
      </c>
      <c r="M16" s="25">
        <v>0</v>
      </c>
      <c r="N16" s="21">
        <v>0</v>
      </c>
      <c r="O16" s="22">
        <v>0</v>
      </c>
      <c r="P16" s="21">
        <v>0</v>
      </c>
      <c r="Q16" s="24">
        <v>0</v>
      </c>
      <c r="R16" s="24">
        <v>0</v>
      </c>
      <c r="S16" s="21">
        <v>0</v>
      </c>
      <c r="T16" s="22">
        <v>0</v>
      </c>
      <c r="U16" s="21">
        <v>0</v>
      </c>
      <c r="V16" s="24">
        <v>0</v>
      </c>
      <c r="W16" s="24">
        <v>0</v>
      </c>
      <c r="X16" s="102">
        <v>0</v>
      </c>
      <c r="Y16" s="71">
        <v>0</v>
      </c>
      <c r="Z16" s="102">
        <v>0</v>
      </c>
      <c r="AA16" s="94">
        <v>0</v>
      </c>
      <c r="AB16" s="94">
        <v>0</v>
      </c>
      <c r="AC16" s="7">
        <f>'Factor D Back Up'!D190</f>
        <v>0</v>
      </c>
      <c r="AD16" s="7">
        <f>'Factor D Back Up'!E190</f>
        <v>0</v>
      </c>
      <c r="AE16" s="7">
        <f>'Factor D Back Up'!F190</f>
        <v>0</v>
      </c>
      <c r="AF16" s="5" t="e">
        <f>'Factor D Back Up'!G190</f>
        <v>#DIV/0!</v>
      </c>
      <c r="AG16" s="5">
        <f>'Factor D Back Up'!H190</f>
        <v>0</v>
      </c>
      <c r="AH16" s="7">
        <f>'Factor D Back Up'!D191</f>
        <v>0</v>
      </c>
      <c r="AI16" s="7">
        <f>'Factor D Back Up'!E191</f>
        <v>0</v>
      </c>
      <c r="AJ16" s="7">
        <f>'Factor D Back Up'!F191</f>
        <v>0</v>
      </c>
      <c r="AK16" s="7" t="e">
        <f>'Factor D Back Up'!G191</f>
        <v>#DIV/0!</v>
      </c>
      <c r="AL16" s="7">
        <f>'Factor D Back Up'!H191</f>
        <v>0</v>
      </c>
      <c r="AM16" s="7">
        <f>'Factor D Back Up'!D192</f>
        <v>0</v>
      </c>
      <c r="AN16" s="7">
        <f>'Factor D Back Up'!E192</f>
        <v>0</v>
      </c>
      <c r="AO16" s="7">
        <f>'Factor D Back Up'!F192</f>
        <v>0</v>
      </c>
      <c r="AP16" s="7" t="e">
        <f>'Factor D Back Up'!G192</f>
        <v>#DIV/0!</v>
      </c>
      <c r="AQ16" s="7">
        <f>'Factor D Back Up'!H192</f>
        <v>0</v>
      </c>
      <c r="AR16" s="7">
        <f>'Factor D Back Up'!D193</f>
        <v>0</v>
      </c>
      <c r="AS16" s="7">
        <f>'Factor D Back Up'!E193</f>
        <v>0</v>
      </c>
      <c r="AT16" s="7">
        <f>'Factor D Back Up'!F193</f>
        <v>0</v>
      </c>
      <c r="AU16" s="7" t="e">
        <f>'Factor D Back Up'!G193</f>
        <v>#DIV/0!</v>
      </c>
      <c r="AV16" s="7">
        <f>'Factor D Back Up'!H193</f>
        <v>0</v>
      </c>
      <c r="AW16" s="7">
        <f>'Factor D Back Up'!D194</f>
        <v>0</v>
      </c>
      <c r="AX16" s="7">
        <f>'Factor D Back Up'!E194</f>
        <v>0</v>
      </c>
      <c r="AY16" s="7">
        <f>'Factor D Back Up'!F194</f>
        <v>0</v>
      </c>
      <c r="AZ16" s="7">
        <f>'Factor D Back Up'!G194</f>
        <v>15.36</v>
      </c>
      <c r="BA16" s="7">
        <f>'Factor D Back Up'!H194</f>
        <v>0</v>
      </c>
    </row>
    <row r="17" spans="1:53" x14ac:dyDescent="0.25">
      <c r="A17" s="110" t="s">
        <v>215</v>
      </c>
      <c r="B17" s="2" t="s">
        <v>184</v>
      </c>
      <c r="C17" s="2" t="s">
        <v>184</v>
      </c>
      <c r="D17" s="21">
        <v>13</v>
      </c>
      <c r="E17" s="22">
        <f t="shared" si="0"/>
        <v>64.15384615384616</v>
      </c>
      <c r="F17" s="21">
        <v>834</v>
      </c>
      <c r="G17" s="25">
        <f t="shared" si="1"/>
        <v>65</v>
      </c>
      <c r="H17" s="274">
        <v>54210</v>
      </c>
      <c r="I17" s="21">
        <v>6</v>
      </c>
      <c r="J17" s="22">
        <f t="shared" si="6"/>
        <v>5.5</v>
      </c>
      <c r="K17" s="21">
        <v>33</v>
      </c>
      <c r="L17" s="24">
        <f t="shared" si="2"/>
        <v>63.522727272727273</v>
      </c>
      <c r="M17" s="274">
        <v>2096.25</v>
      </c>
      <c r="N17" s="21">
        <v>32</v>
      </c>
      <c r="O17" s="22">
        <f t="shared" si="7"/>
        <v>11.34375</v>
      </c>
      <c r="P17" s="21">
        <v>363</v>
      </c>
      <c r="Q17" s="24">
        <f t="shared" si="3"/>
        <v>65</v>
      </c>
      <c r="R17" s="274">
        <v>23595</v>
      </c>
      <c r="S17" s="21">
        <v>12</v>
      </c>
      <c r="T17" s="22">
        <f t="shared" si="4"/>
        <v>16</v>
      </c>
      <c r="U17" s="21">
        <v>192</v>
      </c>
      <c r="V17" s="24">
        <f t="shared" si="5"/>
        <v>65</v>
      </c>
      <c r="W17" s="24">
        <v>12480</v>
      </c>
      <c r="X17" s="102">
        <v>0</v>
      </c>
      <c r="Y17" s="71">
        <v>0</v>
      </c>
      <c r="Z17" s="102">
        <v>0</v>
      </c>
      <c r="AA17" s="94">
        <v>0</v>
      </c>
      <c r="AB17" s="94">
        <v>0</v>
      </c>
      <c r="AC17" s="7">
        <f>'Factor D Back Up'!D226</f>
        <v>0</v>
      </c>
      <c r="AD17" s="8">
        <f>'Factor D Back Up'!E226</f>
        <v>0</v>
      </c>
      <c r="AE17" s="7">
        <f>'Factor D Back Up'!F226</f>
        <v>0</v>
      </c>
      <c r="AF17" s="5" t="e">
        <f>'Factor D Back Up'!G226</f>
        <v>#DIV/0!</v>
      </c>
      <c r="AG17" s="5">
        <f>'Factor D Back Up'!H226</f>
        <v>0</v>
      </c>
      <c r="AH17" s="7">
        <f>'Factor D Back Up'!D227</f>
        <v>0</v>
      </c>
      <c r="AI17" s="7">
        <f>'Factor D Back Up'!E227</f>
        <v>0</v>
      </c>
      <c r="AJ17" s="7">
        <f>'Factor D Back Up'!F227</f>
        <v>0</v>
      </c>
      <c r="AK17" s="7" t="e">
        <f>'Factor D Back Up'!G227</f>
        <v>#DIV/0!</v>
      </c>
      <c r="AL17" s="7">
        <f>'Factor D Back Up'!H227</f>
        <v>0</v>
      </c>
      <c r="AM17" s="7">
        <f>'Factor D Back Up'!D228</f>
        <v>0</v>
      </c>
      <c r="AN17" s="7">
        <f>'Factor D Back Up'!E228</f>
        <v>0</v>
      </c>
      <c r="AO17" s="7">
        <f>'Factor D Back Up'!F228</f>
        <v>0</v>
      </c>
      <c r="AP17" s="7" t="e">
        <f>'Factor D Back Up'!G228</f>
        <v>#DIV/0!</v>
      </c>
      <c r="AQ17" s="7">
        <f>'Factor D Back Up'!H228</f>
        <v>0</v>
      </c>
      <c r="AR17" s="7">
        <f>'Factor D Back Up'!D229</f>
        <v>0</v>
      </c>
      <c r="AS17" s="7">
        <f>'Factor D Back Up'!E229</f>
        <v>0</v>
      </c>
      <c r="AT17" s="7">
        <f>'Factor D Back Up'!F229</f>
        <v>0</v>
      </c>
      <c r="AU17" s="7" t="e">
        <f>'Factor D Back Up'!G229</f>
        <v>#DIV/0!</v>
      </c>
      <c r="AV17" s="7">
        <f>'Factor D Back Up'!H229</f>
        <v>0</v>
      </c>
      <c r="AW17" s="7">
        <f>'Factor D Back Up'!D230</f>
        <v>1</v>
      </c>
      <c r="AX17" s="7">
        <f>'Factor D Back Up'!E230</f>
        <v>23.976597633499615</v>
      </c>
      <c r="AY17" s="7">
        <f>'Factor D Back Up'!F230</f>
        <v>23.976597633499615</v>
      </c>
      <c r="AZ17" s="7">
        <f>'Factor D Back Up'!G230</f>
        <v>16.25</v>
      </c>
      <c r="BA17" s="7">
        <f>'Factor D Back Up'!H230</f>
        <v>389.61971154436873</v>
      </c>
    </row>
    <row r="18" spans="1:53" x14ac:dyDescent="0.25">
      <c r="A18" s="110" t="s">
        <v>216</v>
      </c>
      <c r="B18" s="2" t="s">
        <v>184</v>
      </c>
      <c r="C18" s="2" t="s">
        <v>152</v>
      </c>
      <c r="D18" s="21">
        <v>0</v>
      </c>
      <c r="E18" s="22">
        <v>0</v>
      </c>
      <c r="F18" s="21">
        <v>0</v>
      </c>
      <c r="G18" s="25">
        <v>0</v>
      </c>
      <c r="H18" s="274">
        <v>0</v>
      </c>
      <c r="I18" s="21">
        <v>0</v>
      </c>
      <c r="J18" s="22">
        <v>0</v>
      </c>
      <c r="K18" s="21">
        <v>0</v>
      </c>
      <c r="L18" s="24">
        <v>0</v>
      </c>
      <c r="M18" s="25">
        <v>0</v>
      </c>
      <c r="N18" s="21">
        <v>3</v>
      </c>
      <c r="O18" s="22">
        <f>P18/N18</f>
        <v>4965.333333333333</v>
      </c>
      <c r="P18" s="21">
        <v>14896</v>
      </c>
      <c r="Q18" s="24">
        <f t="shared" si="3"/>
        <v>7</v>
      </c>
      <c r="R18" s="274">
        <v>104272</v>
      </c>
      <c r="S18" s="21">
        <v>3</v>
      </c>
      <c r="T18" s="22">
        <f t="shared" si="4"/>
        <v>2085.3333333333335</v>
      </c>
      <c r="U18" s="21">
        <v>6256</v>
      </c>
      <c r="V18" s="24">
        <f t="shared" si="5"/>
        <v>7</v>
      </c>
      <c r="W18" s="24">
        <v>43792</v>
      </c>
      <c r="X18" s="102">
        <v>0</v>
      </c>
      <c r="Y18" s="71">
        <v>0</v>
      </c>
      <c r="Z18" s="102">
        <v>0</v>
      </c>
      <c r="AA18" s="94">
        <v>0</v>
      </c>
      <c r="AB18" s="94">
        <v>0</v>
      </c>
      <c r="AC18" s="7">
        <f>'Factor D Back Up'!D244</f>
        <v>0</v>
      </c>
      <c r="AD18" s="8">
        <f>'Factor D Back Up'!E244</f>
        <v>0</v>
      </c>
      <c r="AE18" s="7">
        <f>'Factor D Back Up'!F244</f>
        <v>0</v>
      </c>
      <c r="AF18" s="5" t="e">
        <f>'Factor D Back Up'!G244</f>
        <v>#DIV/0!</v>
      </c>
      <c r="AG18" s="5">
        <f>'Factor D Back Up'!H244</f>
        <v>0</v>
      </c>
      <c r="AH18" s="7">
        <f>'Factor D Back Up'!D245</f>
        <v>0</v>
      </c>
      <c r="AI18" s="7">
        <f>'Factor D Back Up'!E245</f>
        <v>0</v>
      </c>
      <c r="AJ18" s="7">
        <f>'Factor D Back Up'!F245</f>
        <v>0</v>
      </c>
      <c r="AK18" s="7" t="e">
        <f>'Factor D Back Up'!G245</f>
        <v>#DIV/0!</v>
      </c>
      <c r="AL18" s="7">
        <f>'Factor D Back Up'!H245</f>
        <v>0</v>
      </c>
      <c r="AM18" s="7">
        <f>'Factor D Back Up'!D246</f>
        <v>0</v>
      </c>
      <c r="AN18" s="7">
        <f>'Factor D Back Up'!E246</f>
        <v>0</v>
      </c>
      <c r="AO18" s="7">
        <f>'Factor D Back Up'!F246</f>
        <v>0</v>
      </c>
      <c r="AP18" s="7" t="e">
        <f>'Factor D Back Up'!G246</f>
        <v>#DIV/0!</v>
      </c>
      <c r="AQ18" s="7">
        <f>'Factor D Back Up'!H246</f>
        <v>0</v>
      </c>
      <c r="AR18" s="7">
        <f>'Factor D Back Up'!D247</f>
        <v>3</v>
      </c>
      <c r="AS18" s="7">
        <f>'Factor D Back Up'!E247</f>
        <v>3524</v>
      </c>
      <c r="AT18" s="7">
        <f>'Factor D Back Up'!F247</f>
        <v>10572</v>
      </c>
      <c r="AU18" s="7">
        <f>'Factor D Back Up'!G247</f>
        <v>14.999545970488082</v>
      </c>
      <c r="AV18" s="7">
        <f>'Factor D Back Up'!H247</f>
        <v>158575.20000000001</v>
      </c>
      <c r="AW18" s="7">
        <f>'Factor D Back Up'!D248</f>
        <v>3</v>
      </c>
      <c r="AX18" s="7">
        <f>'Factor D Back Up'!E248</f>
        <v>1348.2962962962958</v>
      </c>
      <c r="AY18" s="7">
        <f>'Factor D Back Up'!F248</f>
        <v>4044.8888888888878</v>
      </c>
      <c r="AZ18" s="7">
        <f>'Factor D Back Up'!G248</f>
        <v>15</v>
      </c>
      <c r="BA18" s="7">
        <f>'Factor D Back Up'!H248</f>
        <v>60673.333333333314</v>
      </c>
    </row>
    <row r="19" spans="1:53" x14ac:dyDescent="0.25">
      <c r="A19" s="110" t="s">
        <v>217</v>
      </c>
      <c r="B19" s="2" t="s">
        <v>184</v>
      </c>
      <c r="C19" s="2" t="s">
        <v>152</v>
      </c>
      <c r="D19" s="21">
        <v>1</v>
      </c>
      <c r="E19" s="22">
        <f t="shared" si="0"/>
        <v>2020</v>
      </c>
      <c r="F19" s="21">
        <v>2020</v>
      </c>
      <c r="G19" s="25">
        <f t="shared" si="1"/>
        <v>19.821782178217823</v>
      </c>
      <c r="H19" s="274">
        <v>40040</v>
      </c>
      <c r="I19" s="21">
        <v>0</v>
      </c>
      <c r="J19" s="22">
        <v>0</v>
      </c>
      <c r="K19" s="21">
        <v>0</v>
      </c>
      <c r="L19" s="24">
        <v>0</v>
      </c>
      <c r="M19" s="25">
        <v>0</v>
      </c>
      <c r="N19" s="21">
        <v>0</v>
      </c>
      <c r="O19" s="22">
        <v>0</v>
      </c>
      <c r="P19" s="21">
        <v>0</v>
      </c>
      <c r="Q19" s="24">
        <v>0</v>
      </c>
      <c r="R19" s="24">
        <v>0</v>
      </c>
      <c r="S19" s="21">
        <v>2</v>
      </c>
      <c r="T19" s="22">
        <f t="shared" si="4"/>
        <v>3412</v>
      </c>
      <c r="U19" s="21">
        <v>6824</v>
      </c>
      <c r="V19" s="24">
        <f t="shared" si="5"/>
        <v>5</v>
      </c>
      <c r="W19" s="24">
        <v>34120</v>
      </c>
      <c r="X19" s="102">
        <v>0</v>
      </c>
      <c r="Y19" s="71">
        <v>0</v>
      </c>
      <c r="Z19" s="102">
        <v>0</v>
      </c>
      <c r="AA19" s="94">
        <v>0</v>
      </c>
      <c r="AB19" s="94">
        <v>0</v>
      </c>
      <c r="AC19" s="7">
        <f>'Factor D Back Up'!D262</f>
        <v>0</v>
      </c>
      <c r="AD19" s="8">
        <f>'Factor D Back Up'!E262</f>
        <v>0</v>
      </c>
      <c r="AE19" s="7">
        <f>'Factor D Back Up'!F262</f>
        <v>0</v>
      </c>
      <c r="AF19" s="5" t="e">
        <f>'Factor D Back Up'!G262</f>
        <v>#DIV/0!</v>
      </c>
      <c r="AG19" s="5">
        <f>'Factor D Back Up'!H262</f>
        <v>0</v>
      </c>
      <c r="AH19" s="7">
        <f>'Factor D Back Up'!D263</f>
        <v>0</v>
      </c>
      <c r="AI19" s="7">
        <f>'Factor D Back Up'!E263</f>
        <v>0</v>
      </c>
      <c r="AJ19" s="7">
        <f>'Factor D Back Up'!F263</f>
        <v>0</v>
      </c>
      <c r="AK19" s="7" t="e">
        <f>'Factor D Back Up'!G263</f>
        <v>#DIV/0!</v>
      </c>
      <c r="AL19" s="7">
        <f>'Factor D Back Up'!H263</f>
        <v>0</v>
      </c>
      <c r="AM19" s="7">
        <f>'Factor D Back Up'!D264</f>
        <v>0</v>
      </c>
      <c r="AN19" s="7">
        <f>'Factor D Back Up'!E264</f>
        <v>0</v>
      </c>
      <c r="AO19" s="7">
        <f>'Factor D Back Up'!F264</f>
        <v>0</v>
      </c>
      <c r="AP19" s="7" t="e">
        <f>'Factor D Back Up'!G264</f>
        <v>#DIV/0!</v>
      </c>
      <c r="AQ19" s="7">
        <f>'Factor D Back Up'!H264</f>
        <v>0</v>
      </c>
      <c r="AR19" s="7">
        <f>'Factor D Back Up'!D265</f>
        <v>7</v>
      </c>
      <c r="AS19" s="7">
        <f>'Factor D Back Up'!E265</f>
        <v>6212.4285714285716</v>
      </c>
      <c r="AT19" s="7">
        <f>'Factor D Back Up'!F265</f>
        <v>43487</v>
      </c>
      <c r="AU19" s="7">
        <f>'Factor D Back Up'!G265</f>
        <v>12.499241152528342</v>
      </c>
      <c r="AV19" s="7">
        <f>'Factor D Back Up'!H265</f>
        <v>543554.5</v>
      </c>
      <c r="AW19" s="7">
        <f>'Factor D Back Up'!D266</f>
        <v>7</v>
      </c>
      <c r="AX19" s="7">
        <f>'Factor D Back Up'!E266</f>
        <v>2406.9682539682535</v>
      </c>
      <c r="AY19" s="7">
        <f>'Factor D Back Up'!F266</f>
        <v>16848.777777777774</v>
      </c>
      <c r="AZ19" s="7">
        <f>'Factor D Back Up'!G266</f>
        <v>12.5</v>
      </c>
      <c r="BA19" s="7">
        <f>'Factor D Back Up'!H266</f>
        <v>210609.72222222216</v>
      </c>
    </row>
    <row r="20" spans="1:53" x14ac:dyDescent="0.25">
      <c r="A20" s="110" t="s">
        <v>203</v>
      </c>
      <c r="B20" s="2" t="s">
        <v>184</v>
      </c>
      <c r="C20" s="2" t="s">
        <v>152</v>
      </c>
      <c r="D20" s="21">
        <v>0</v>
      </c>
      <c r="E20" s="22">
        <v>0</v>
      </c>
      <c r="F20" s="21">
        <v>0</v>
      </c>
      <c r="G20" s="25">
        <v>0</v>
      </c>
      <c r="H20" s="24">
        <v>0</v>
      </c>
      <c r="I20" s="21">
        <v>0</v>
      </c>
      <c r="J20" s="22">
        <v>0</v>
      </c>
      <c r="K20" s="21">
        <v>0</v>
      </c>
      <c r="L20" s="24">
        <v>0</v>
      </c>
      <c r="M20" s="25">
        <v>0</v>
      </c>
      <c r="N20" s="21">
        <v>1</v>
      </c>
      <c r="O20" s="22">
        <f>P20/N20</f>
        <v>8</v>
      </c>
      <c r="P20" s="21">
        <v>8</v>
      </c>
      <c r="Q20" s="24">
        <f t="shared" si="3"/>
        <v>15</v>
      </c>
      <c r="R20" s="274">
        <v>120</v>
      </c>
      <c r="S20" s="21">
        <v>0</v>
      </c>
      <c r="T20" s="22">
        <v>0</v>
      </c>
      <c r="U20" s="21">
        <v>0</v>
      </c>
      <c r="V20" s="24">
        <v>0</v>
      </c>
      <c r="W20" s="24">
        <v>0</v>
      </c>
      <c r="X20" s="102">
        <v>0</v>
      </c>
      <c r="Y20" s="71">
        <v>0</v>
      </c>
      <c r="Z20" s="102">
        <v>0</v>
      </c>
      <c r="AA20" s="94">
        <v>0</v>
      </c>
      <c r="AB20" s="94">
        <v>0</v>
      </c>
      <c r="AC20" s="7">
        <f>'Factor D Back Up'!D280</f>
        <v>0</v>
      </c>
      <c r="AD20" s="8">
        <f>'Factor D Back Up'!E280</f>
        <v>0</v>
      </c>
      <c r="AE20" s="7">
        <f>'Factor D Back Up'!F280</f>
        <v>0</v>
      </c>
      <c r="AF20" s="5" t="e">
        <f>'Factor D Back Up'!G280</f>
        <v>#DIV/0!</v>
      </c>
      <c r="AG20" s="5">
        <f>'Factor D Back Up'!H280</f>
        <v>0</v>
      </c>
      <c r="AH20" s="7">
        <f>'Factor D Back Up'!D281</f>
        <v>0</v>
      </c>
      <c r="AI20" s="7">
        <f>'Factor D Back Up'!E281</f>
        <v>0</v>
      </c>
      <c r="AJ20" s="7">
        <f>'Factor D Back Up'!F281</f>
        <v>0</v>
      </c>
      <c r="AK20" s="7" t="e">
        <f>'Factor D Back Up'!G281</f>
        <v>#DIV/0!</v>
      </c>
      <c r="AL20" s="7">
        <f>'Factor D Back Up'!H281</f>
        <v>0</v>
      </c>
      <c r="AM20" s="7">
        <f>'Factor D Back Up'!D282</f>
        <v>0</v>
      </c>
      <c r="AN20" s="7">
        <f>'Factor D Back Up'!E282</f>
        <v>0</v>
      </c>
      <c r="AO20" s="7">
        <f>'Factor D Back Up'!F282</f>
        <v>0</v>
      </c>
      <c r="AP20" s="7" t="e">
        <f>'Factor D Back Up'!G282</f>
        <v>#DIV/0!</v>
      </c>
      <c r="AQ20" s="7">
        <f>'Factor D Back Up'!H282</f>
        <v>0</v>
      </c>
      <c r="AR20" s="7">
        <f>'Factor D Back Up'!D283</f>
        <v>15</v>
      </c>
      <c r="AS20" s="7">
        <f>'Factor D Back Up'!E283</f>
        <v>165.6</v>
      </c>
      <c r="AT20" s="7">
        <f>'Factor D Back Up'!F283</f>
        <v>2484</v>
      </c>
      <c r="AU20" s="7">
        <f>'Factor D Back Up'!G283</f>
        <v>15.232367149758453</v>
      </c>
      <c r="AV20" s="7">
        <f>'Factor D Back Up'!H283</f>
        <v>37837.199999999997</v>
      </c>
      <c r="AW20" s="7">
        <f>'Factor D Back Up'!D284</f>
        <v>15</v>
      </c>
      <c r="AX20" s="7">
        <f>'Factor D Back Up'!E284</f>
        <v>165.6</v>
      </c>
      <c r="AY20" s="7">
        <f>'Factor D Back Up'!F284</f>
        <v>2484</v>
      </c>
      <c r="AZ20" s="7">
        <f>'Factor D Back Up'!G284</f>
        <v>15.36</v>
      </c>
      <c r="BA20" s="7">
        <f>'Factor D Back Up'!H284</f>
        <v>38154.239999999998</v>
      </c>
    </row>
    <row r="21" spans="1:53" x14ac:dyDescent="0.25">
      <c r="A21" s="110" t="s">
        <v>204</v>
      </c>
      <c r="B21" s="2" t="s">
        <v>184</v>
      </c>
      <c r="C21" s="2" t="s">
        <v>152</v>
      </c>
      <c r="D21" s="21">
        <v>2</v>
      </c>
      <c r="E21" s="22">
        <f t="shared" si="0"/>
        <v>28</v>
      </c>
      <c r="F21" s="21">
        <v>56</v>
      </c>
      <c r="G21" s="25">
        <f t="shared" si="1"/>
        <v>18.75</v>
      </c>
      <c r="H21" s="274">
        <v>1050</v>
      </c>
      <c r="I21" s="21">
        <v>7</v>
      </c>
      <c r="J21" s="22">
        <f t="shared" si="6"/>
        <v>21.857142857142858</v>
      </c>
      <c r="K21" s="21">
        <v>153</v>
      </c>
      <c r="L21" s="24">
        <f t="shared" si="2"/>
        <v>18.75</v>
      </c>
      <c r="M21" s="274">
        <v>2868.75</v>
      </c>
      <c r="N21" s="21">
        <v>8</v>
      </c>
      <c r="O21" s="22">
        <f>P21/N21</f>
        <v>34.25</v>
      </c>
      <c r="P21" s="21">
        <v>274</v>
      </c>
      <c r="Q21" s="24">
        <f t="shared" si="3"/>
        <v>18.75</v>
      </c>
      <c r="R21" s="274">
        <v>5137.5</v>
      </c>
      <c r="S21" s="21">
        <v>11</v>
      </c>
      <c r="T21" s="22">
        <f t="shared" si="4"/>
        <v>51.454545454545453</v>
      </c>
      <c r="U21" s="21">
        <v>566</v>
      </c>
      <c r="V21" s="24">
        <f t="shared" si="5"/>
        <v>18.75</v>
      </c>
      <c r="W21" s="24">
        <v>10612.5</v>
      </c>
      <c r="X21" s="102">
        <v>32</v>
      </c>
      <c r="Y21" s="71">
        <f t="shared" si="8"/>
        <v>30.75</v>
      </c>
      <c r="Z21" s="102">
        <v>984</v>
      </c>
      <c r="AA21" s="94">
        <f t="shared" si="9"/>
        <v>18.747967479674795</v>
      </c>
      <c r="AB21" s="94">
        <v>18448</v>
      </c>
      <c r="AC21" s="7">
        <f>'Factor D Back Up'!D298</f>
        <v>46</v>
      </c>
      <c r="AD21" s="8">
        <f>'Factor D Back Up'!E298</f>
        <v>20.195652173913043</v>
      </c>
      <c r="AE21" s="7">
        <f>'Factor D Back Up'!F298</f>
        <v>929</v>
      </c>
      <c r="AF21" s="5">
        <f>'Factor D Back Up'!G298</f>
        <v>18.723089343379979</v>
      </c>
      <c r="AG21" s="5">
        <f>'Factor D Back Up'!H298</f>
        <v>17393.75</v>
      </c>
      <c r="AH21" s="7">
        <f>'Factor D Back Up'!D299</f>
        <v>6</v>
      </c>
      <c r="AI21" s="7">
        <f>'Factor D Back Up'!E299</f>
        <v>52</v>
      </c>
      <c r="AJ21" s="7">
        <f>'Factor D Back Up'!F299</f>
        <v>312</v>
      </c>
      <c r="AK21" s="7">
        <f>'Factor D Back Up'!G299</f>
        <v>18.75</v>
      </c>
      <c r="AL21" s="7">
        <f>'Factor D Back Up'!H299</f>
        <v>5850</v>
      </c>
      <c r="AM21" s="7">
        <f>'Factor D Back Up'!D300</f>
        <v>3</v>
      </c>
      <c r="AN21" s="7">
        <f>'Factor D Back Up'!E300</f>
        <v>22.666666666666668</v>
      </c>
      <c r="AO21" s="7">
        <f>'Factor D Back Up'!F300</f>
        <v>68</v>
      </c>
      <c r="AP21" s="7">
        <f>'Factor D Back Up'!G300</f>
        <v>18.75</v>
      </c>
      <c r="AQ21" s="7">
        <f>'Factor D Back Up'!H300</f>
        <v>1275</v>
      </c>
      <c r="AR21" s="7">
        <f>'Factor D Back Up'!D301</f>
        <v>7</v>
      </c>
      <c r="AS21" s="7">
        <f>'Factor D Back Up'!E301</f>
        <v>19.428571428571427</v>
      </c>
      <c r="AT21" s="7">
        <f>'Factor D Back Up'!F301</f>
        <v>136</v>
      </c>
      <c r="AU21" s="7">
        <f>'Factor D Back Up'!G301</f>
        <v>19.05</v>
      </c>
      <c r="AV21" s="7">
        <f>'Factor D Back Up'!H301</f>
        <v>2590.8000000000002</v>
      </c>
      <c r="AW21" s="7">
        <f>'Factor D Back Up'!D302</f>
        <v>17</v>
      </c>
      <c r="AX21" s="7">
        <f>'Factor D Back Up'!E302</f>
        <v>31.790391421419368</v>
      </c>
      <c r="AY21" s="7">
        <f>'Factor D Back Up'!F302</f>
        <v>540.43665416412921</v>
      </c>
      <c r="AZ21" s="7">
        <f>'Factor D Back Up'!G302</f>
        <v>19.18</v>
      </c>
      <c r="BA21" s="7">
        <f>'Factor D Back Up'!H302</f>
        <v>10365.575026867999</v>
      </c>
    </row>
    <row r="22" spans="1:53" x14ac:dyDescent="0.25">
      <c r="A22" s="110" t="s">
        <v>205</v>
      </c>
      <c r="B22" s="2" t="s">
        <v>184</v>
      </c>
      <c r="C22" s="2" t="s">
        <v>152</v>
      </c>
      <c r="D22" s="21">
        <v>0</v>
      </c>
      <c r="E22" s="22">
        <v>0</v>
      </c>
      <c r="F22" s="21">
        <v>0</v>
      </c>
      <c r="G22" s="25">
        <v>0</v>
      </c>
      <c r="H22" s="24">
        <v>0</v>
      </c>
      <c r="I22" s="21">
        <v>25</v>
      </c>
      <c r="J22" s="22">
        <f t="shared" si="6"/>
        <v>62.56</v>
      </c>
      <c r="K22" s="21">
        <v>1564</v>
      </c>
      <c r="L22" s="24">
        <f t="shared" si="2"/>
        <v>11.25</v>
      </c>
      <c r="M22" s="274">
        <v>17595</v>
      </c>
      <c r="N22" s="21">
        <v>44</v>
      </c>
      <c r="O22" s="22">
        <f>P22/N22</f>
        <v>89.590909090909093</v>
      </c>
      <c r="P22" s="21">
        <v>3942</v>
      </c>
      <c r="Q22" s="24">
        <f t="shared" si="3"/>
        <v>11.25</v>
      </c>
      <c r="R22" s="274">
        <v>44347.5</v>
      </c>
      <c r="S22" s="21">
        <v>40</v>
      </c>
      <c r="T22" s="22">
        <f t="shared" si="4"/>
        <v>63.2</v>
      </c>
      <c r="U22" s="21">
        <v>2528</v>
      </c>
      <c r="V22" s="24">
        <f t="shared" si="5"/>
        <v>11.247033227848101</v>
      </c>
      <c r="W22" s="24">
        <v>28432.5</v>
      </c>
      <c r="X22" s="102">
        <v>0</v>
      </c>
      <c r="Y22" s="71">
        <v>0</v>
      </c>
      <c r="Z22" s="102">
        <v>0</v>
      </c>
      <c r="AA22" s="94">
        <v>0</v>
      </c>
      <c r="AB22" s="94">
        <v>0</v>
      </c>
      <c r="AC22" s="7">
        <f>'Factor D Back Up'!D316</f>
        <v>0</v>
      </c>
      <c r="AD22" s="8">
        <f>'Factor D Back Up'!E316</f>
        <v>0</v>
      </c>
      <c r="AE22" s="7">
        <f>'Factor D Back Up'!F316</f>
        <v>0</v>
      </c>
      <c r="AF22" s="5" t="e">
        <f>'Factor D Back Up'!G316</f>
        <v>#DIV/0!</v>
      </c>
      <c r="AG22" s="5">
        <f>'Factor D Back Up'!H316</f>
        <v>0</v>
      </c>
      <c r="AH22" s="7">
        <f>'Factor D Back Up'!D317</f>
        <v>0</v>
      </c>
      <c r="AI22" s="7">
        <f>'Factor D Back Up'!E317</f>
        <v>0</v>
      </c>
      <c r="AJ22" s="7">
        <f>'Factor D Back Up'!F317</f>
        <v>0</v>
      </c>
      <c r="AK22" s="7" t="e">
        <f>'Factor D Back Up'!G317</f>
        <v>#DIV/0!</v>
      </c>
      <c r="AL22" s="7">
        <f>'Factor D Back Up'!H317</f>
        <v>0</v>
      </c>
      <c r="AM22" s="7">
        <f>'Factor D Back Up'!D318</f>
        <v>0</v>
      </c>
      <c r="AN22" s="7">
        <f>'Factor D Back Up'!E318</f>
        <v>0</v>
      </c>
      <c r="AO22" s="7">
        <f>'Factor D Back Up'!F318</f>
        <v>0</v>
      </c>
      <c r="AP22" s="7" t="e">
        <f>'Factor D Back Up'!G318</f>
        <v>#DIV/0!</v>
      </c>
      <c r="AQ22" s="7">
        <f>'Factor D Back Up'!H318</f>
        <v>0</v>
      </c>
      <c r="AR22" s="7">
        <f>'Factor D Back Up'!D319</f>
        <v>0</v>
      </c>
      <c r="AS22" s="7">
        <f>'Factor D Back Up'!E319</f>
        <v>0</v>
      </c>
      <c r="AT22" s="7">
        <f>'Factor D Back Up'!F319</f>
        <v>0</v>
      </c>
      <c r="AU22" s="7" t="e">
        <f>'Factor D Back Up'!G319</f>
        <v>#DIV/0!</v>
      </c>
      <c r="AV22" s="7">
        <f>'Factor D Back Up'!H319</f>
        <v>0</v>
      </c>
      <c r="AW22" s="7">
        <f>'Factor D Back Up'!D320</f>
        <v>39</v>
      </c>
      <c r="AX22" s="7">
        <f>'Factor D Back Up'!E320</f>
        <v>134</v>
      </c>
      <c r="AY22" s="7">
        <f>'Factor D Back Up'!F320</f>
        <v>5226</v>
      </c>
      <c r="AZ22" s="7">
        <f>'Factor D Back Up'!G320</f>
        <v>75.77</v>
      </c>
      <c r="BA22" s="7">
        <f>'Factor D Back Up'!H320</f>
        <v>395974.01999999996</v>
      </c>
    </row>
    <row r="23" spans="1:53" x14ac:dyDescent="0.25">
      <c r="A23" s="110" t="s">
        <v>206</v>
      </c>
      <c r="B23" s="2" t="s">
        <v>184</v>
      </c>
      <c r="C23" s="2" t="s">
        <v>152</v>
      </c>
      <c r="D23" s="21">
        <v>0</v>
      </c>
      <c r="E23" s="21">
        <v>0</v>
      </c>
      <c r="F23" s="21">
        <v>0</v>
      </c>
      <c r="G23" s="21">
        <v>0</v>
      </c>
      <c r="H23" s="21">
        <v>0</v>
      </c>
      <c r="I23" s="21">
        <v>0</v>
      </c>
      <c r="J23" s="22">
        <v>0</v>
      </c>
      <c r="K23" s="21">
        <v>0</v>
      </c>
      <c r="L23" s="24">
        <v>0</v>
      </c>
      <c r="M23" s="25">
        <v>0</v>
      </c>
      <c r="N23" s="21">
        <v>0</v>
      </c>
      <c r="O23" s="22">
        <v>0</v>
      </c>
      <c r="P23" s="21">
        <v>0</v>
      </c>
      <c r="Q23" s="24">
        <v>0</v>
      </c>
      <c r="R23" s="274">
        <v>0</v>
      </c>
      <c r="S23" s="21">
        <v>0</v>
      </c>
      <c r="T23" s="22">
        <v>0</v>
      </c>
      <c r="U23" s="21">
        <v>0</v>
      </c>
      <c r="V23" s="24">
        <v>0</v>
      </c>
      <c r="W23" s="24">
        <v>0</v>
      </c>
      <c r="X23" s="102">
        <v>0</v>
      </c>
      <c r="Y23" s="71">
        <v>0</v>
      </c>
      <c r="Z23" s="102">
        <v>0</v>
      </c>
      <c r="AA23" s="94">
        <v>0</v>
      </c>
      <c r="AB23" s="94">
        <v>0</v>
      </c>
      <c r="AC23" s="7">
        <f>'Factor D Back Up'!D334</f>
        <v>0</v>
      </c>
      <c r="AD23" s="8">
        <f>'Factor D Back Up'!E334</f>
        <v>0</v>
      </c>
      <c r="AE23" s="7">
        <f>'Factor D Back Up'!F334</f>
        <v>0</v>
      </c>
      <c r="AF23" s="5" t="e">
        <f>'Factor D Back Up'!G334</f>
        <v>#DIV/0!</v>
      </c>
      <c r="AG23" s="5">
        <f>'Factor D Back Up'!H334</f>
        <v>0</v>
      </c>
      <c r="AH23" s="7">
        <f>'Factor D Back Up'!D335</f>
        <v>0</v>
      </c>
      <c r="AI23" s="7">
        <f>'Factor D Back Up'!E335</f>
        <v>0</v>
      </c>
      <c r="AJ23" s="7">
        <f>'Factor D Back Up'!F335</f>
        <v>0</v>
      </c>
      <c r="AK23" s="7" t="e">
        <f>'Factor D Back Up'!G335</f>
        <v>#DIV/0!</v>
      </c>
      <c r="AL23" s="7">
        <f>'Factor D Back Up'!H335</f>
        <v>0</v>
      </c>
      <c r="AM23" s="7">
        <f>'Factor D Back Up'!D336</f>
        <v>0</v>
      </c>
      <c r="AN23" s="7">
        <f>'Factor D Back Up'!E336</f>
        <v>0</v>
      </c>
      <c r="AO23" s="7">
        <f>'Factor D Back Up'!F336</f>
        <v>0</v>
      </c>
      <c r="AP23" s="7" t="e">
        <f>'Factor D Back Up'!G336</f>
        <v>#DIV/0!</v>
      </c>
      <c r="AQ23" s="7">
        <f>'Factor D Back Up'!H336</f>
        <v>0</v>
      </c>
      <c r="AR23" s="7">
        <f>'Factor D Back Up'!D337</f>
        <v>0</v>
      </c>
      <c r="AS23" s="7">
        <f>'Factor D Back Up'!E337</f>
        <v>0</v>
      </c>
      <c r="AT23" s="7">
        <f>'Factor D Back Up'!F337</f>
        <v>0</v>
      </c>
      <c r="AU23" s="7" t="e">
        <f>'Factor D Back Up'!G337</f>
        <v>#DIV/0!</v>
      </c>
      <c r="AV23" s="7">
        <f>'Factor D Back Up'!H337</f>
        <v>0</v>
      </c>
      <c r="AW23" s="7">
        <f>'Factor D Back Up'!D338</f>
        <v>0</v>
      </c>
      <c r="AX23" s="7">
        <f>'Factor D Back Up'!E338</f>
        <v>0</v>
      </c>
      <c r="AY23" s="7">
        <f>'Factor D Back Up'!F338</f>
        <v>0</v>
      </c>
      <c r="AZ23" s="7" t="e">
        <f>'Factor D Back Up'!G338</f>
        <v>#DIV/0!</v>
      </c>
      <c r="BA23" s="7">
        <f>'Factor D Back Up'!H338</f>
        <v>0</v>
      </c>
    </row>
    <row r="24" spans="1:53" x14ac:dyDescent="0.25">
      <c r="A24" s="110" t="s">
        <v>207</v>
      </c>
      <c r="B24" s="2" t="s">
        <v>184</v>
      </c>
      <c r="C24" s="2" t="s">
        <v>152</v>
      </c>
      <c r="D24" s="21">
        <v>0</v>
      </c>
      <c r="E24" s="21">
        <v>0</v>
      </c>
      <c r="F24" s="21">
        <v>0</v>
      </c>
      <c r="G24" s="21">
        <v>0</v>
      </c>
      <c r="H24" s="21">
        <v>0</v>
      </c>
      <c r="I24" s="21">
        <v>0</v>
      </c>
      <c r="J24" s="22">
        <v>0</v>
      </c>
      <c r="K24" s="21">
        <v>0</v>
      </c>
      <c r="L24" s="24">
        <v>0</v>
      </c>
      <c r="M24" s="25">
        <v>0</v>
      </c>
      <c r="N24" s="21">
        <v>0</v>
      </c>
      <c r="O24" s="22">
        <v>0</v>
      </c>
      <c r="P24" s="21">
        <v>0</v>
      </c>
      <c r="Q24" s="24">
        <v>0</v>
      </c>
      <c r="R24" s="274">
        <v>0</v>
      </c>
      <c r="S24" s="21">
        <v>1</v>
      </c>
      <c r="T24" s="22">
        <f t="shared" si="4"/>
        <v>24</v>
      </c>
      <c r="U24" s="21">
        <v>24</v>
      </c>
      <c r="V24" s="24">
        <f t="shared" si="5"/>
        <v>11.25</v>
      </c>
      <c r="W24" s="24">
        <v>270</v>
      </c>
      <c r="X24" s="102">
        <v>0</v>
      </c>
      <c r="Y24" s="71">
        <v>0</v>
      </c>
      <c r="Z24" s="102">
        <v>0</v>
      </c>
      <c r="AA24" s="94">
        <v>0</v>
      </c>
      <c r="AB24" s="94">
        <v>0</v>
      </c>
      <c r="AC24" s="7">
        <f>'Factor D Back Up'!D347</f>
        <v>0</v>
      </c>
      <c r="AD24" s="8">
        <f>'Factor D Back Up'!E347</f>
        <v>0</v>
      </c>
      <c r="AE24" s="7">
        <f>'Factor D Back Up'!F347</f>
        <v>0</v>
      </c>
      <c r="AF24" s="5" t="e">
        <f>'Factor D Back Up'!G347</f>
        <v>#DIV/0!</v>
      </c>
      <c r="AG24" s="5">
        <f>'Factor D Back Up'!H347</f>
        <v>0</v>
      </c>
      <c r="AH24" s="7">
        <f>'Factor D Back Up'!D348</f>
        <v>0</v>
      </c>
      <c r="AI24" s="7">
        <f>'Factor D Back Up'!E348</f>
        <v>0</v>
      </c>
      <c r="AJ24" s="7">
        <f>'Factor D Back Up'!F348</f>
        <v>0</v>
      </c>
      <c r="AK24" s="7" t="e">
        <f>'Factor D Back Up'!G348</f>
        <v>#DIV/0!</v>
      </c>
      <c r="AL24" s="7">
        <f>'Factor D Back Up'!H348</f>
        <v>0</v>
      </c>
      <c r="AM24" s="7">
        <f>'Factor D Back Up'!D349</f>
        <v>0</v>
      </c>
      <c r="AN24" s="7">
        <f>'Factor D Back Up'!E349</f>
        <v>0</v>
      </c>
      <c r="AO24" s="7">
        <f>'Factor D Back Up'!F349</f>
        <v>0</v>
      </c>
      <c r="AP24" s="7" t="e">
        <f>'Factor D Back Up'!G349</f>
        <v>#DIV/0!</v>
      </c>
      <c r="AQ24" s="7">
        <f>'Factor D Back Up'!H349</f>
        <v>0</v>
      </c>
      <c r="AR24" s="7">
        <f>'Factor D Back Up'!D350</f>
        <v>0</v>
      </c>
      <c r="AS24" s="7">
        <f>'Factor D Back Up'!E350</f>
        <v>0</v>
      </c>
      <c r="AT24" s="7">
        <f>'Factor D Back Up'!F350</f>
        <v>0</v>
      </c>
      <c r="AU24" s="7" t="e">
        <f>'Factor D Back Up'!G350</f>
        <v>#DIV/0!</v>
      </c>
      <c r="AV24" s="7">
        <f>'Factor D Back Up'!H350</f>
        <v>0</v>
      </c>
      <c r="AW24" s="7">
        <f>'Factor D Back Up'!D351</f>
        <v>0</v>
      </c>
      <c r="AX24" s="7">
        <f>'Factor D Back Up'!E351</f>
        <v>0</v>
      </c>
      <c r="AY24" s="7">
        <f>'Factor D Back Up'!F351</f>
        <v>0</v>
      </c>
      <c r="AZ24" s="7" t="e">
        <f>'Factor D Back Up'!G351</f>
        <v>#DIV/0!</v>
      </c>
      <c r="BA24" s="7">
        <f>'Factor D Back Up'!H351</f>
        <v>0</v>
      </c>
    </row>
    <row r="25" spans="1:53" x14ac:dyDescent="0.25">
      <c r="A25" s="110" t="s">
        <v>208</v>
      </c>
      <c r="B25" s="2" t="s">
        <v>184</v>
      </c>
      <c r="C25" s="2" t="s">
        <v>152</v>
      </c>
      <c r="D25" s="21">
        <v>0</v>
      </c>
      <c r="E25" s="21">
        <v>0</v>
      </c>
      <c r="F25" s="21">
        <v>0</v>
      </c>
      <c r="G25" s="21">
        <v>0</v>
      </c>
      <c r="H25" s="21">
        <v>0</v>
      </c>
      <c r="I25" s="21">
        <v>28</v>
      </c>
      <c r="J25" s="22">
        <f t="shared" si="6"/>
        <v>96.321428571428569</v>
      </c>
      <c r="K25" s="21">
        <v>2697</v>
      </c>
      <c r="L25" s="24">
        <f t="shared" si="2"/>
        <v>18.699254727474973</v>
      </c>
      <c r="M25" s="274">
        <v>50431.89</v>
      </c>
      <c r="N25" s="21">
        <v>51</v>
      </c>
      <c r="O25" s="22">
        <f>P25/N25</f>
        <v>122.98039215686275</v>
      </c>
      <c r="P25" s="21">
        <v>6272</v>
      </c>
      <c r="Q25" s="24">
        <f t="shared" ref="Q25" si="11">R25/P25</f>
        <v>18.701575255102039</v>
      </c>
      <c r="R25" s="274">
        <v>117296.28</v>
      </c>
      <c r="S25" s="21">
        <v>49</v>
      </c>
      <c r="T25" s="22">
        <f t="shared" si="4"/>
        <v>77.632653061224488</v>
      </c>
      <c r="U25" s="21">
        <v>3804</v>
      </c>
      <c r="V25" s="24">
        <f t="shared" si="5"/>
        <v>18.707939011566772</v>
      </c>
      <c r="W25" s="24">
        <v>71165</v>
      </c>
      <c r="X25" s="102">
        <v>80</v>
      </c>
      <c r="Y25" s="71">
        <f t="shared" si="8"/>
        <v>63.6</v>
      </c>
      <c r="Z25" s="102">
        <v>5088</v>
      </c>
      <c r="AA25" s="94">
        <f t="shared" si="9"/>
        <v>18.75</v>
      </c>
      <c r="AB25" s="94">
        <v>95400</v>
      </c>
      <c r="AC25" s="7">
        <f>'Factor D Back Up'!D360</f>
        <v>313</v>
      </c>
      <c r="AD25" s="8">
        <f>'Factor D Back Up'!E360</f>
        <v>65.897763578274763</v>
      </c>
      <c r="AE25" s="7">
        <f>'Factor D Back Up'!F360</f>
        <v>20626</v>
      </c>
      <c r="AF25" s="5">
        <f>'Factor D Back Up'!G360</f>
        <v>18.75</v>
      </c>
      <c r="AG25" s="5">
        <f>'Factor D Back Up'!H360</f>
        <v>386737.5</v>
      </c>
      <c r="AH25" s="7">
        <f>'Factor D Back Up'!D361</f>
        <v>454</v>
      </c>
      <c r="AI25" s="7">
        <f>'Factor D Back Up'!E361</f>
        <v>94.960352422907491</v>
      </c>
      <c r="AJ25" s="7">
        <f>'Factor D Back Up'!F361</f>
        <v>43112</v>
      </c>
      <c r="AK25" s="7">
        <f>'Factor D Back Up'!G361</f>
        <v>18.75</v>
      </c>
      <c r="AL25" s="7">
        <f>'Factor D Back Up'!H361</f>
        <v>808350</v>
      </c>
      <c r="AM25" s="7">
        <f>'Factor D Back Up'!D362</f>
        <v>382</v>
      </c>
      <c r="AN25" s="7">
        <f>'Factor D Back Up'!E362</f>
        <v>148.90052356020942</v>
      </c>
      <c r="AO25" s="7">
        <f>'Factor D Back Up'!F362</f>
        <v>56880</v>
      </c>
      <c r="AP25" s="7">
        <f>'Factor D Back Up'!G362</f>
        <v>18.75</v>
      </c>
      <c r="AQ25" s="7">
        <f>'Factor D Back Up'!H362</f>
        <v>1066500</v>
      </c>
      <c r="AR25" s="7">
        <f>'Factor D Back Up'!D363</f>
        <v>409</v>
      </c>
      <c r="AS25" s="7">
        <f>'Factor D Back Up'!E363</f>
        <v>176.11735941320293</v>
      </c>
      <c r="AT25" s="7">
        <f>'Factor D Back Up'!F363</f>
        <v>72032</v>
      </c>
      <c r="AU25" s="7">
        <f>'Factor D Back Up'!G363</f>
        <v>18.762054087072414</v>
      </c>
      <c r="AV25" s="7">
        <f>'Factor D Back Up'!H363</f>
        <v>1351468.28</v>
      </c>
      <c r="AW25" s="7">
        <f>'Factor D Back Up'!D364</f>
        <v>442</v>
      </c>
      <c r="AX25" s="7">
        <f>'Factor D Back Up'!E364</f>
        <v>145.56129309046796</v>
      </c>
      <c r="AY25" s="7">
        <f>'Factor D Back Up'!F364</f>
        <v>64338.091545986834</v>
      </c>
      <c r="AZ25" s="7">
        <f>'Factor D Back Up'!G364</f>
        <v>18.940000000000001</v>
      </c>
      <c r="BA25" s="7">
        <f>'Factor D Back Up'!H364</f>
        <v>1218563.4538809906</v>
      </c>
    </row>
    <row r="26" spans="1:53" x14ac:dyDescent="0.25">
      <c r="A26" s="110" t="s">
        <v>209</v>
      </c>
      <c r="B26" s="2" t="s">
        <v>184</v>
      </c>
      <c r="C26" s="2" t="s">
        <v>152</v>
      </c>
      <c r="D26" s="21">
        <v>0</v>
      </c>
      <c r="E26" s="21">
        <v>0</v>
      </c>
      <c r="F26" s="21">
        <v>0</v>
      </c>
      <c r="G26" s="21">
        <v>0</v>
      </c>
      <c r="H26" s="21">
        <v>0</v>
      </c>
      <c r="I26" s="21">
        <v>0</v>
      </c>
      <c r="J26" s="22">
        <v>0</v>
      </c>
      <c r="K26" s="21">
        <v>0</v>
      </c>
      <c r="L26" s="24">
        <v>0</v>
      </c>
      <c r="M26" s="25">
        <v>0</v>
      </c>
      <c r="N26" s="21">
        <v>0</v>
      </c>
      <c r="O26" s="22">
        <v>0</v>
      </c>
      <c r="P26" s="21">
        <v>0</v>
      </c>
      <c r="Q26" s="24">
        <v>0</v>
      </c>
      <c r="R26" s="274">
        <v>0</v>
      </c>
      <c r="S26" s="21">
        <v>0</v>
      </c>
      <c r="T26" s="22">
        <v>0</v>
      </c>
      <c r="U26" s="21">
        <v>0</v>
      </c>
      <c r="V26" s="24">
        <v>0</v>
      </c>
      <c r="W26" s="24">
        <v>0</v>
      </c>
      <c r="X26" s="102">
        <v>0</v>
      </c>
      <c r="Y26" s="71">
        <v>0</v>
      </c>
      <c r="Z26" s="102">
        <v>0</v>
      </c>
      <c r="AA26" s="94">
        <v>0</v>
      </c>
      <c r="AB26" s="94">
        <v>0</v>
      </c>
      <c r="AC26" s="7">
        <f>'Factor D Back Up'!D378</f>
        <v>0</v>
      </c>
      <c r="AD26" s="8">
        <f>'Factor D Back Up'!E378</f>
        <v>0</v>
      </c>
      <c r="AE26" s="7">
        <f>'Factor D Back Up'!F378</f>
        <v>0</v>
      </c>
      <c r="AF26" s="5" t="e">
        <f>'Factor D Back Up'!G378</f>
        <v>#DIV/0!</v>
      </c>
      <c r="AG26" s="5">
        <f>'Factor D Back Up'!H378</f>
        <v>0</v>
      </c>
      <c r="AH26" s="7">
        <f>'Factor D Back Up'!D379</f>
        <v>0</v>
      </c>
      <c r="AI26" s="7">
        <f>'Factor D Back Up'!E379</f>
        <v>0</v>
      </c>
      <c r="AJ26" s="7">
        <f>'Factor D Back Up'!F379</f>
        <v>0</v>
      </c>
      <c r="AK26" s="7" t="e">
        <f>'Factor D Back Up'!G379</f>
        <v>#DIV/0!</v>
      </c>
      <c r="AL26" s="7">
        <f>'Factor D Back Up'!H379</f>
        <v>0</v>
      </c>
      <c r="AM26" s="7">
        <f>'Factor D Back Up'!D380</f>
        <v>0</v>
      </c>
      <c r="AN26" s="7">
        <f>'Factor D Back Up'!E380</f>
        <v>0</v>
      </c>
      <c r="AO26" s="7">
        <f>'Factor D Back Up'!F380</f>
        <v>0</v>
      </c>
      <c r="AP26" s="7" t="e">
        <f>'Factor D Back Up'!G380</f>
        <v>#DIV/0!</v>
      </c>
      <c r="AQ26" s="7">
        <f>'Factor D Back Up'!H380</f>
        <v>0</v>
      </c>
      <c r="AR26" s="7">
        <f>'Factor D Back Up'!D381</f>
        <v>0</v>
      </c>
      <c r="AS26" s="7">
        <f>'Factor D Back Up'!E381</f>
        <v>0</v>
      </c>
      <c r="AT26" s="7">
        <f>'Factor D Back Up'!F381</f>
        <v>0</v>
      </c>
      <c r="AU26" s="7" t="e">
        <f>'Factor D Back Up'!G381</f>
        <v>#DIV/0!</v>
      </c>
      <c r="AV26" s="7">
        <f>'Factor D Back Up'!H381</f>
        <v>0</v>
      </c>
      <c r="AW26" s="7">
        <f>'Factor D Back Up'!D382</f>
        <v>0</v>
      </c>
      <c r="AX26" s="7">
        <f>'Factor D Back Up'!E382</f>
        <v>0</v>
      </c>
      <c r="AY26" s="7">
        <f>'Factor D Back Up'!F382</f>
        <v>0</v>
      </c>
      <c r="AZ26" s="7" t="e">
        <f>'Factor D Back Up'!G382</f>
        <v>#DIV/0!</v>
      </c>
      <c r="BA26" s="7">
        <f>'Factor D Back Up'!H382</f>
        <v>0</v>
      </c>
    </row>
    <row r="27" spans="1:53" x14ac:dyDescent="0.25">
      <c r="A27" s="110" t="s">
        <v>210</v>
      </c>
      <c r="B27" s="2" t="s">
        <v>184</v>
      </c>
      <c r="C27" s="2" t="s">
        <v>130</v>
      </c>
      <c r="D27" s="21">
        <v>0</v>
      </c>
      <c r="E27" s="22">
        <v>0</v>
      </c>
      <c r="F27" s="21">
        <v>0</v>
      </c>
      <c r="G27" s="25">
        <v>0</v>
      </c>
      <c r="H27" s="24">
        <v>0</v>
      </c>
      <c r="I27" s="21">
        <v>0</v>
      </c>
      <c r="J27" s="22">
        <v>0</v>
      </c>
      <c r="K27" s="21">
        <v>0</v>
      </c>
      <c r="L27" s="24">
        <v>0</v>
      </c>
      <c r="M27" s="25">
        <v>0</v>
      </c>
      <c r="N27" s="21">
        <v>0</v>
      </c>
      <c r="O27" s="22">
        <v>0</v>
      </c>
      <c r="P27" s="21">
        <v>0</v>
      </c>
      <c r="Q27" s="24">
        <v>0</v>
      </c>
      <c r="R27" s="274">
        <v>0</v>
      </c>
      <c r="S27" s="21">
        <v>0</v>
      </c>
      <c r="T27" s="22">
        <v>0</v>
      </c>
      <c r="U27" s="21">
        <v>0</v>
      </c>
      <c r="V27" s="24">
        <v>0</v>
      </c>
      <c r="W27" s="24">
        <v>0</v>
      </c>
      <c r="X27" s="102">
        <v>0</v>
      </c>
      <c r="Y27" s="71">
        <v>0</v>
      </c>
      <c r="Z27" s="102">
        <v>0</v>
      </c>
      <c r="AA27" s="94">
        <v>0</v>
      </c>
      <c r="AB27" s="94">
        <v>0</v>
      </c>
      <c r="AC27" s="7">
        <f>'Factor D Back Up'!D391</f>
        <v>0</v>
      </c>
      <c r="AD27" s="8">
        <f>'Factor D Back Up'!E391</f>
        <v>0</v>
      </c>
      <c r="AE27" s="7">
        <f>'Factor D Back Up'!F391</f>
        <v>0</v>
      </c>
      <c r="AF27" s="5" t="e">
        <f>'Factor D Back Up'!G391</f>
        <v>#DIV/0!</v>
      </c>
      <c r="AG27" s="5">
        <f>'Factor D Back Up'!H391</f>
        <v>0</v>
      </c>
      <c r="AH27" s="7">
        <f>'Factor D Back Up'!D392</f>
        <v>0</v>
      </c>
      <c r="AI27" s="7">
        <f>'Factor D Back Up'!E392</f>
        <v>0</v>
      </c>
      <c r="AJ27" s="7">
        <f>'Factor D Back Up'!F392</f>
        <v>0</v>
      </c>
      <c r="AK27" s="7" t="e">
        <f>'Factor D Back Up'!G392</f>
        <v>#DIV/0!</v>
      </c>
      <c r="AL27" s="7">
        <f>'Factor D Back Up'!H392</f>
        <v>0</v>
      </c>
      <c r="AM27" s="7">
        <f>'Factor D Back Up'!D393</f>
        <v>0</v>
      </c>
      <c r="AN27" s="7">
        <f>'Factor D Back Up'!E393</f>
        <v>0</v>
      </c>
      <c r="AO27" s="7">
        <f>'Factor D Back Up'!F393</f>
        <v>0</v>
      </c>
      <c r="AP27" s="7" t="e">
        <f>'Factor D Back Up'!G393</f>
        <v>#DIV/0!</v>
      </c>
      <c r="AQ27" s="7">
        <f>'Factor D Back Up'!H393</f>
        <v>0</v>
      </c>
      <c r="AR27" s="7">
        <f>'Factor D Back Up'!D394</f>
        <v>0</v>
      </c>
      <c r="AS27" s="7">
        <f>'Factor D Back Up'!E394</f>
        <v>0</v>
      </c>
      <c r="AT27" s="7">
        <f>'Factor D Back Up'!F394</f>
        <v>0</v>
      </c>
      <c r="AU27" s="7" t="e">
        <f>'Factor D Back Up'!G394</f>
        <v>#DIV/0!</v>
      </c>
      <c r="AV27" s="7">
        <f>'Factor D Back Up'!H394</f>
        <v>0</v>
      </c>
      <c r="AW27" s="7">
        <f>'Factor D Back Up'!D395</f>
        <v>0</v>
      </c>
      <c r="AX27" s="7">
        <f>'Factor D Back Up'!E395</f>
        <v>0</v>
      </c>
      <c r="AY27" s="7">
        <f>'Factor D Back Up'!F395</f>
        <v>0</v>
      </c>
      <c r="AZ27" s="7" t="e">
        <f>'Factor D Back Up'!G395</f>
        <v>#DIV/0!</v>
      </c>
      <c r="BA27" s="7">
        <f>'Factor D Back Up'!H395</f>
        <v>0</v>
      </c>
    </row>
    <row r="28" spans="1:53" x14ac:dyDescent="0.25">
      <c r="A28" s="110" t="s">
        <v>211</v>
      </c>
      <c r="B28" s="2" t="s">
        <v>184</v>
      </c>
      <c r="C28" s="2" t="s">
        <v>152</v>
      </c>
      <c r="D28" s="21">
        <v>0</v>
      </c>
      <c r="E28" s="22">
        <v>0</v>
      </c>
      <c r="F28" s="21">
        <v>0</v>
      </c>
      <c r="G28" s="25">
        <v>0</v>
      </c>
      <c r="H28" s="24">
        <v>0</v>
      </c>
      <c r="I28" s="21">
        <v>12</v>
      </c>
      <c r="J28" s="22">
        <f t="shared" si="6"/>
        <v>53.833333333333336</v>
      </c>
      <c r="K28" s="21">
        <v>646</v>
      </c>
      <c r="L28" s="24">
        <f t="shared" si="2"/>
        <v>11.25</v>
      </c>
      <c r="M28" s="274">
        <v>7267.5</v>
      </c>
      <c r="N28" s="21">
        <v>27</v>
      </c>
      <c r="O28" s="22">
        <f>P28/N28</f>
        <v>75.037037037037038</v>
      </c>
      <c r="P28" s="21">
        <v>2026</v>
      </c>
      <c r="Q28" s="24">
        <f t="shared" ref="Q28:Q32" si="12">R28/P28</f>
        <v>11.25</v>
      </c>
      <c r="R28" s="274">
        <v>22792.5</v>
      </c>
      <c r="S28" s="21">
        <v>54</v>
      </c>
      <c r="T28" s="22">
        <f t="shared" ref="T28:T32" si="13">U28/S28</f>
        <v>50.962962962962962</v>
      </c>
      <c r="U28" s="21">
        <v>2752</v>
      </c>
      <c r="V28" s="24">
        <f t="shared" ref="V28:V32" si="14">W28/U28</f>
        <v>11.25</v>
      </c>
      <c r="W28" s="24">
        <v>30960</v>
      </c>
      <c r="X28" s="102">
        <v>4</v>
      </c>
      <c r="Y28" s="71">
        <f t="shared" si="8"/>
        <v>60.5</v>
      </c>
      <c r="Z28" s="102">
        <v>242</v>
      </c>
      <c r="AA28" s="94">
        <f t="shared" si="9"/>
        <v>11.25</v>
      </c>
      <c r="AB28" s="94">
        <v>2722.5</v>
      </c>
      <c r="AC28" s="7">
        <f>'Factor D Back Up'!D404</f>
        <v>23</v>
      </c>
      <c r="AD28" s="8">
        <f>'Factor D Back Up'!E404</f>
        <v>78.695652173913047</v>
      </c>
      <c r="AE28" s="7">
        <f>'Factor D Back Up'!F404</f>
        <v>1810</v>
      </c>
      <c r="AF28" s="5">
        <f>'Factor D Back Up'!G404</f>
        <v>11.25</v>
      </c>
      <c r="AG28" s="5">
        <f>'Factor D Back Up'!H404</f>
        <v>20362.5</v>
      </c>
      <c r="AH28" s="7">
        <f>'Factor D Back Up'!D405</f>
        <v>47</v>
      </c>
      <c r="AI28" s="7">
        <f>'Factor D Back Up'!E405</f>
        <v>107.95744680851064</v>
      </c>
      <c r="AJ28" s="7">
        <f>'Factor D Back Up'!F405</f>
        <v>5074</v>
      </c>
      <c r="AK28" s="7">
        <f>'Factor D Back Up'!G405</f>
        <v>11.209992116673236</v>
      </c>
      <c r="AL28" s="7">
        <f>'Factor D Back Up'!H405</f>
        <v>56879.5</v>
      </c>
      <c r="AM28" s="7">
        <f>'Factor D Back Up'!D406</f>
        <v>26</v>
      </c>
      <c r="AN28" s="7">
        <f>'Factor D Back Up'!E406</f>
        <v>193.84615384615384</v>
      </c>
      <c r="AO28" s="7">
        <f>'Factor D Back Up'!F406</f>
        <v>5040</v>
      </c>
      <c r="AP28" s="7">
        <f>'Factor D Back Up'!G406</f>
        <v>11.241037698412699</v>
      </c>
      <c r="AQ28" s="7">
        <f>'Factor D Back Up'!H406</f>
        <v>56654.83</v>
      </c>
      <c r="AR28" s="7">
        <f>'Factor D Back Up'!D407</f>
        <v>29</v>
      </c>
      <c r="AS28" s="7">
        <f>'Factor D Back Up'!E407</f>
        <v>57.482758620689658</v>
      </c>
      <c r="AT28" s="7">
        <f>'Factor D Back Up'!F407</f>
        <v>1667</v>
      </c>
      <c r="AU28" s="7">
        <f>'Factor D Back Up'!G407</f>
        <v>23.408206358728258</v>
      </c>
      <c r="AV28" s="7">
        <f>'Factor D Back Up'!H407</f>
        <v>39021.480000000003</v>
      </c>
      <c r="AW28" s="7">
        <f>'Factor D Back Up'!D408</f>
        <v>0</v>
      </c>
      <c r="AX28" s="7">
        <f>'Factor D Back Up'!E408</f>
        <v>0</v>
      </c>
      <c r="AY28" s="7">
        <f>'Factor D Back Up'!F408</f>
        <v>0</v>
      </c>
      <c r="AZ28" s="7">
        <f>'Factor D Back Up'!G408</f>
        <v>0</v>
      </c>
      <c r="BA28" s="7">
        <f>'Factor D Back Up'!H408</f>
        <v>0</v>
      </c>
    </row>
    <row r="29" spans="1:53" x14ac:dyDescent="0.25">
      <c r="A29" s="110" t="s">
        <v>214</v>
      </c>
      <c r="B29" s="2" t="s">
        <v>131</v>
      </c>
      <c r="C29" s="2" t="s">
        <v>153</v>
      </c>
      <c r="D29" s="21">
        <v>239</v>
      </c>
      <c r="E29" s="22">
        <f t="shared" si="0"/>
        <v>1.1757322175732217</v>
      </c>
      <c r="F29" s="21">
        <v>281</v>
      </c>
      <c r="G29" s="25">
        <f t="shared" si="1"/>
        <v>234.09252669039145</v>
      </c>
      <c r="H29" s="274">
        <v>65780</v>
      </c>
      <c r="I29" s="21">
        <v>293</v>
      </c>
      <c r="J29" s="22">
        <f t="shared" si="6"/>
        <v>1.1604095563139931</v>
      </c>
      <c r="K29" s="21">
        <v>340</v>
      </c>
      <c r="L29" s="24">
        <f t="shared" si="2"/>
        <v>223.82058823529411</v>
      </c>
      <c r="M29" s="274">
        <v>76099</v>
      </c>
      <c r="N29" s="21">
        <v>220</v>
      </c>
      <c r="O29" s="22">
        <f t="shared" ref="O29:O32" si="15">P29/N29</f>
        <v>1.1681818181818182</v>
      </c>
      <c r="P29" s="21">
        <v>257</v>
      </c>
      <c r="Q29" s="24">
        <f t="shared" si="12"/>
        <v>224.2863813229572</v>
      </c>
      <c r="R29" s="274">
        <v>57641.599999999999</v>
      </c>
      <c r="S29" s="21">
        <v>202</v>
      </c>
      <c r="T29" s="22">
        <f t="shared" si="13"/>
        <v>1.0198019801980198</v>
      </c>
      <c r="U29" s="21">
        <v>206</v>
      </c>
      <c r="V29" s="24">
        <f t="shared" si="14"/>
        <v>239.58640776699031</v>
      </c>
      <c r="W29" s="24">
        <v>49354.8</v>
      </c>
      <c r="X29" s="102">
        <v>177</v>
      </c>
      <c r="Y29" s="71">
        <f t="shared" si="8"/>
        <v>1.03954802259887</v>
      </c>
      <c r="Z29" s="102">
        <v>184</v>
      </c>
      <c r="AA29" s="94">
        <f t="shared" si="9"/>
        <v>236.60869565217391</v>
      </c>
      <c r="AB29" s="94">
        <v>43536</v>
      </c>
      <c r="AC29" s="7">
        <f>'Factor D Back Up'!D417</f>
        <v>170</v>
      </c>
      <c r="AD29" s="8">
        <f>'Factor D Back Up'!E417</f>
        <v>1.0176470588235293</v>
      </c>
      <c r="AE29" s="7">
        <f>'Factor D Back Up'!F417</f>
        <v>173</v>
      </c>
      <c r="AF29" s="5">
        <f>'Factor D Back Up'!G417</f>
        <v>238.88670520231216</v>
      </c>
      <c r="AG29" s="5">
        <f>'Factor D Back Up'!H417</f>
        <v>41327.4</v>
      </c>
      <c r="AH29" s="7">
        <f>'Factor D Back Up'!D418</f>
        <v>137</v>
      </c>
      <c r="AI29" s="7">
        <f>'Factor D Back Up'!E418</f>
        <v>1</v>
      </c>
      <c r="AJ29" s="7">
        <f>'Factor D Back Up'!F418</f>
        <v>137</v>
      </c>
      <c r="AK29" s="7">
        <f>'Factor D Back Up'!G418</f>
        <v>238.75912408759123</v>
      </c>
      <c r="AL29" s="7">
        <f>'Factor D Back Up'!H418</f>
        <v>32710</v>
      </c>
      <c r="AM29" s="7">
        <f>'Factor D Back Up'!D419</f>
        <v>97</v>
      </c>
      <c r="AN29" s="7">
        <f>'Factor D Back Up'!E419</f>
        <v>1.0103092783505154</v>
      </c>
      <c r="AO29" s="7">
        <f>'Factor D Back Up'!F419</f>
        <v>98</v>
      </c>
      <c r="AP29" s="7">
        <f>'Factor D Back Up'!G419</f>
        <v>236.39061224489794</v>
      </c>
      <c r="AQ29" s="7">
        <f>'Factor D Back Up'!H419</f>
        <v>23166.28</v>
      </c>
      <c r="AR29" s="7">
        <f>'Factor D Back Up'!D420</f>
        <v>86</v>
      </c>
      <c r="AS29" s="7">
        <f>'Factor D Back Up'!E420</f>
        <v>1</v>
      </c>
      <c r="AT29" s="7">
        <f>'Factor D Back Up'!F420</f>
        <v>86</v>
      </c>
      <c r="AU29" s="7">
        <f>'Factor D Back Up'!G420</f>
        <v>242.98116279069768</v>
      </c>
      <c r="AV29" s="7">
        <f>'Factor D Back Up'!H420</f>
        <v>20896.38</v>
      </c>
      <c r="AW29" s="7">
        <f>'Factor D Back Up'!D421</f>
        <v>131</v>
      </c>
      <c r="AX29" s="7">
        <f>'Factor D Back Up'!E421</f>
        <v>1</v>
      </c>
      <c r="AY29" s="7">
        <f>'Factor D Back Up'!F421</f>
        <v>131</v>
      </c>
      <c r="AZ29" s="7">
        <f>'Factor D Back Up'!G421</f>
        <v>248.8</v>
      </c>
      <c r="BA29" s="7">
        <f>'Factor D Back Up'!H421</f>
        <v>32592.800000000003</v>
      </c>
    </row>
    <row r="30" spans="1:53" x14ac:dyDescent="0.25">
      <c r="A30" s="110" t="s">
        <v>213</v>
      </c>
      <c r="B30" s="2" t="s">
        <v>129</v>
      </c>
      <c r="C30" s="2" t="s">
        <v>152</v>
      </c>
      <c r="D30" s="21">
        <v>197</v>
      </c>
      <c r="E30" s="22">
        <f t="shared" si="0"/>
        <v>31.598984771573605</v>
      </c>
      <c r="F30" s="21">
        <v>6225</v>
      </c>
      <c r="G30" s="25">
        <f t="shared" si="1"/>
        <v>21.884939759036143</v>
      </c>
      <c r="H30" s="274">
        <v>136233.75</v>
      </c>
      <c r="I30" s="21">
        <v>311</v>
      </c>
      <c r="J30" s="22">
        <f t="shared" si="6"/>
        <v>63.475884244372992</v>
      </c>
      <c r="K30" s="21">
        <v>19741</v>
      </c>
      <c r="L30" s="24">
        <f t="shared" si="2"/>
        <v>24.259518261486257</v>
      </c>
      <c r="M30" s="274">
        <v>478907.1500000002</v>
      </c>
      <c r="N30" s="21">
        <v>368</v>
      </c>
      <c r="O30" s="22">
        <f t="shared" si="15"/>
        <v>98.448369565217391</v>
      </c>
      <c r="P30" s="21">
        <v>36229</v>
      </c>
      <c r="Q30" s="24">
        <f t="shared" si="12"/>
        <v>24.771831957823842</v>
      </c>
      <c r="R30" s="274">
        <v>897458.7</v>
      </c>
      <c r="S30" s="21">
        <v>398</v>
      </c>
      <c r="T30" s="22">
        <f t="shared" si="13"/>
        <v>88.281407035175874</v>
      </c>
      <c r="U30" s="21">
        <v>35136</v>
      </c>
      <c r="V30" s="24">
        <f t="shared" si="14"/>
        <v>24.322569444444465</v>
      </c>
      <c r="W30" s="24">
        <v>854597.80000000075</v>
      </c>
      <c r="X30" s="102">
        <v>466</v>
      </c>
      <c r="Y30" s="71">
        <f t="shared" si="8"/>
        <v>69.180257510729618</v>
      </c>
      <c r="Z30" s="102">
        <v>32238</v>
      </c>
      <c r="AA30" s="94">
        <f t="shared" si="9"/>
        <v>24.971430299646379</v>
      </c>
      <c r="AB30" s="94">
        <v>805028.97</v>
      </c>
      <c r="AC30" s="7">
        <f>'Factor D Back Up'!D435</f>
        <v>911</v>
      </c>
      <c r="AD30" s="8">
        <f>'Factor D Back Up'!E435</f>
        <v>50.729967069154775</v>
      </c>
      <c r="AE30" s="7">
        <f>'Factor D Back Up'!F435</f>
        <v>46215</v>
      </c>
      <c r="AF30" s="5">
        <f>'Factor D Back Up'!G435</f>
        <v>25.730522557611167</v>
      </c>
      <c r="AG30" s="5">
        <f>'Factor D Back Up'!H435</f>
        <v>1189136.1000000001</v>
      </c>
      <c r="AH30" s="7">
        <f>'Factor D Back Up'!D436</f>
        <v>864</v>
      </c>
      <c r="AI30" s="7">
        <f>'Factor D Back Up'!E436</f>
        <v>55.611111111111114</v>
      </c>
      <c r="AJ30" s="7">
        <f>'Factor D Back Up'!F436</f>
        <v>48048</v>
      </c>
      <c r="AK30" s="7">
        <f>'Factor D Back Up'!G436</f>
        <v>25.63341595904096</v>
      </c>
      <c r="AL30" s="7">
        <f>'Factor D Back Up'!H436</f>
        <v>1231634.3700000001</v>
      </c>
      <c r="AM30" s="7">
        <f>'Factor D Back Up'!D437</f>
        <v>527</v>
      </c>
      <c r="AN30" s="7">
        <f>'Factor D Back Up'!E437</f>
        <v>85.950664136622393</v>
      </c>
      <c r="AO30" s="7">
        <f>'Factor D Back Up'!F437</f>
        <v>45296</v>
      </c>
      <c r="AP30" s="7">
        <f>'Factor D Back Up'!G437</f>
        <v>25.482208362769342</v>
      </c>
      <c r="AQ30" s="7">
        <f>'Factor D Back Up'!H437</f>
        <v>1154242.1100000001</v>
      </c>
      <c r="AR30" s="7">
        <f>'Factor D Back Up'!D438</f>
        <v>502</v>
      </c>
      <c r="AS30" s="7">
        <f>'Factor D Back Up'!E438</f>
        <v>84.177290836653384</v>
      </c>
      <c r="AT30" s="7">
        <f>'Factor D Back Up'!F438</f>
        <v>42257</v>
      </c>
      <c r="AU30" s="7">
        <f>'Factor D Back Up'!G438</f>
        <v>26.004745249307806</v>
      </c>
      <c r="AV30" s="7">
        <f>'Factor D Back Up'!H438</f>
        <v>1098882.52</v>
      </c>
      <c r="AW30" s="7">
        <f>'Factor D Back Up'!D439</f>
        <v>497</v>
      </c>
      <c r="AX30" s="7">
        <f>'Factor D Back Up'!E439</f>
        <v>82.864720732328294</v>
      </c>
      <c r="AY30" s="7">
        <f>'Factor D Back Up'!F439</f>
        <v>41183.766203967163</v>
      </c>
      <c r="AZ30" s="7">
        <f>'Factor D Back Up'!G439</f>
        <v>26.66</v>
      </c>
      <c r="BA30" s="7">
        <f>'Factor D Back Up'!H439</f>
        <v>1097959.2069977645</v>
      </c>
    </row>
    <row r="31" spans="1:53" x14ac:dyDescent="0.25">
      <c r="A31" s="110" t="s">
        <v>212</v>
      </c>
      <c r="B31" s="2" t="s">
        <v>129</v>
      </c>
      <c r="C31" s="2" t="s">
        <v>152</v>
      </c>
      <c r="D31" s="21">
        <v>150</v>
      </c>
      <c r="E31" s="22">
        <f t="shared" si="0"/>
        <v>49.56666666666667</v>
      </c>
      <c r="F31" s="21">
        <v>7435</v>
      </c>
      <c r="G31" s="25">
        <f t="shared" si="1"/>
        <v>15.119031607262945</v>
      </c>
      <c r="H31" s="274">
        <v>112410</v>
      </c>
      <c r="I31" s="21">
        <v>193</v>
      </c>
      <c r="J31" s="22">
        <f t="shared" si="6"/>
        <v>93.787564766839381</v>
      </c>
      <c r="K31" s="21">
        <v>18101</v>
      </c>
      <c r="L31" s="24">
        <f t="shared" si="2"/>
        <v>14.602231920888348</v>
      </c>
      <c r="M31" s="274">
        <v>264315</v>
      </c>
      <c r="N31" s="21">
        <v>232</v>
      </c>
      <c r="O31" s="22">
        <f t="shared" si="15"/>
        <v>113.49568965517241</v>
      </c>
      <c r="P31" s="21">
        <v>26331</v>
      </c>
      <c r="Q31" s="24">
        <f t="shared" si="12"/>
        <v>14.768713683490942</v>
      </c>
      <c r="R31" s="274">
        <v>388875</v>
      </c>
      <c r="S31" s="21">
        <v>183</v>
      </c>
      <c r="T31" s="22">
        <f t="shared" si="13"/>
        <v>97.36612021857924</v>
      </c>
      <c r="U31" s="21">
        <v>17818</v>
      </c>
      <c r="V31" s="24">
        <f>W31/U31</f>
        <v>14.618138960601639</v>
      </c>
      <c r="W31" s="24">
        <v>260466</v>
      </c>
      <c r="X31" s="102">
        <v>131</v>
      </c>
      <c r="Y31" s="71">
        <f t="shared" si="8"/>
        <v>63.190839694656489</v>
      </c>
      <c r="Z31" s="102">
        <v>8278</v>
      </c>
      <c r="AA31" s="94">
        <f t="shared" si="9"/>
        <v>15</v>
      </c>
      <c r="AB31" s="94">
        <v>124170</v>
      </c>
      <c r="AC31" s="7">
        <f>'Factor D Back Up'!D453</f>
        <v>186</v>
      </c>
      <c r="AD31" s="8">
        <f>'Factor D Back Up'!E453</f>
        <v>56.526881720430104</v>
      </c>
      <c r="AE31" s="7">
        <f>'Factor D Back Up'!F453</f>
        <v>10514</v>
      </c>
      <c r="AF31" s="5">
        <f>'Factor D Back Up'!G453</f>
        <v>14.914066958341259</v>
      </c>
      <c r="AG31" s="5">
        <f>'Factor D Back Up'!H453</f>
        <v>156806.5</v>
      </c>
      <c r="AH31" s="7">
        <f>'Factor D Back Up'!D454</f>
        <v>224</v>
      </c>
      <c r="AI31" s="7">
        <f>'Factor D Back Up'!E454</f>
        <v>52.15625</v>
      </c>
      <c r="AJ31" s="7">
        <f>'Factor D Back Up'!F454</f>
        <v>11683</v>
      </c>
      <c r="AK31" s="7">
        <f>'Factor D Back Up'!G454</f>
        <v>14.926688350594882</v>
      </c>
      <c r="AL31" s="7">
        <f>'Factor D Back Up'!H454</f>
        <v>174388.5</v>
      </c>
      <c r="AM31" s="7">
        <f>'Factor D Back Up'!D455</f>
        <v>102</v>
      </c>
      <c r="AN31" s="7">
        <f>'Factor D Back Up'!E455</f>
        <v>113.24509803921569</v>
      </c>
      <c r="AO31" s="7">
        <f>'Factor D Back Up'!F455</f>
        <v>11551</v>
      </c>
      <c r="AP31" s="7">
        <f>'Factor D Back Up'!G455</f>
        <v>14.960717686780365</v>
      </c>
      <c r="AQ31" s="7">
        <f>'Factor D Back Up'!H455</f>
        <v>172811.25</v>
      </c>
      <c r="AR31" s="7">
        <f>'Factor D Back Up'!D456</f>
        <v>105</v>
      </c>
      <c r="AS31" s="7">
        <f>'Factor D Back Up'!E456</f>
        <v>78.571428571428569</v>
      </c>
      <c r="AT31" s="7">
        <f>'Factor D Back Up'!F456</f>
        <v>8250</v>
      </c>
      <c r="AU31" s="7">
        <f>'Factor D Back Up'!G456</f>
        <v>15.712218181818182</v>
      </c>
      <c r="AV31" s="7">
        <f>'Factor D Back Up'!H456</f>
        <v>129625.8</v>
      </c>
      <c r="AW31" s="7">
        <f>'Factor D Back Up'!D457</f>
        <v>106</v>
      </c>
      <c r="AX31" s="7">
        <f>'Factor D Back Up'!E457</f>
        <v>80.505770429033916</v>
      </c>
      <c r="AY31" s="7">
        <f>'Factor D Back Up'!F457</f>
        <v>8533.6116654775942</v>
      </c>
      <c r="AZ31" s="7">
        <f>'Factor D Back Up'!G457</f>
        <v>16.420000000000002</v>
      </c>
      <c r="BA31" s="7">
        <f>'Factor D Back Up'!H457</f>
        <v>140121.90354714211</v>
      </c>
    </row>
    <row r="32" spans="1:53" x14ac:dyDescent="0.25">
      <c r="A32" s="110" t="s">
        <v>218</v>
      </c>
      <c r="B32" s="2" t="s">
        <v>129</v>
      </c>
      <c r="C32" s="2" t="s">
        <v>152</v>
      </c>
      <c r="D32" s="21">
        <v>11</v>
      </c>
      <c r="E32" s="22">
        <f t="shared" si="0"/>
        <v>9806.2727272727279</v>
      </c>
      <c r="F32" s="21">
        <v>107869</v>
      </c>
      <c r="G32" s="25">
        <f t="shared" si="1"/>
        <v>5.497209578284771</v>
      </c>
      <c r="H32" s="274">
        <v>592978.5</v>
      </c>
      <c r="I32" s="21">
        <v>22</v>
      </c>
      <c r="J32" s="22">
        <f t="shared" si="6"/>
        <v>11549.636363636364</v>
      </c>
      <c r="K32" s="21">
        <v>254092</v>
      </c>
      <c r="L32" s="24">
        <f t="shared" si="2"/>
        <v>5.4947263196007743</v>
      </c>
      <c r="M32" s="274">
        <v>1396166</v>
      </c>
      <c r="N32" s="21">
        <v>42</v>
      </c>
      <c r="O32" s="22">
        <f t="shared" si="15"/>
        <v>13095.595238095239</v>
      </c>
      <c r="P32" s="21">
        <v>550015</v>
      </c>
      <c r="Q32" s="24">
        <f t="shared" si="12"/>
        <v>5.4970582620473989</v>
      </c>
      <c r="R32" s="274">
        <v>3023464.5</v>
      </c>
      <c r="S32" s="21">
        <v>47</v>
      </c>
      <c r="T32" s="22">
        <f t="shared" si="13"/>
        <v>13780</v>
      </c>
      <c r="U32" s="21">
        <v>647660</v>
      </c>
      <c r="V32" s="24">
        <f t="shared" si="14"/>
        <v>5.4814567674397061</v>
      </c>
      <c r="W32" s="24">
        <v>3550120.29</v>
      </c>
      <c r="X32" s="102">
        <v>63</v>
      </c>
      <c r="Y32" s="71">
        <f t="shared" si="8"/>
        <v>11616.507936507936</v>
      </c>
      <c r="Z32" s="102">
        <v>731840</v>
      </c>
      <c r="AA32" s="94">
        <f t="shared" si="9"/>
        <v>5.4796075644949713</v>
      </c>
      <c r="AB32" s="94">
        <v>4010196</v>
      </c>
      <c r="AC32" s="7">
        <f>'Factor D Back Up'!D471</f>
        <v>153</v>
      </c>
      <c r="AD32" s="8">
        <f>'Factor D Back Up'!E471</f>
        <v>5340.4967320261439</v>
      </c>
      <c r="AE32" s="7">
        <f>'Factor D Back Up'!F471</f>
        <v>817096</v>
      </c>
      <c r="AF32" s="5">
        <f>'Factor D Back Up'!G471</f>
        <v>5.4901422966212046</v>
      </c>
      <c r="AG32" s="5">
        <f>'Factor D Back Up'!H471</f>
        <v>4485973.3099999996</v>
      </c>
      <c r="AH32" s="7">
        <f>'Factor D Back Up'!D472</f>
        <v>157</v>
      </c>
      <c r="AI32" s="7">
        <f>'Factor D Back Up'!E472</f>
        <v>6420.7197452229302</v>
      </c>
      <c r="AJ32" s="7">
        <f>'Factor D Back Up'!F472</f>
        <v>1008053</v>
      </c>
      <c r="AK32" s="7">
        <f>'Factor D Back Up'!G472</f>
        <v>5.55754729166026</v>
      </c>
      <c r="AL32" s="7">
        <f>'Factor D Back Up'!H472</f>
        <v>5602302.2199999997</v>
      </c>
      <c r="AM32" s="7">
        <f>'Factor D Back Up'!D473</f>
        <v>113</v>
      </c>
      <c r="AN32" s="7">
        <f>'Factor D Back Up'!E473</f>
        <v>10108.690265486726</v>
      </c>
      <c r="AO32" s="7">
        <f>'Factor D Back Up'!F473</f>
        <v>1142282</v>
      </c>
      <c r="AP32" s="7">
        <f>'Factor D Back Up'!G473</f>
        <v>5.9194415389544783</v>
      </c>
      <c r="AQ32" s="7">
        <f>'Factor D Back Up'!H473</f>
        <v>6761671.5199999996</v>
      </c>
      <c r="AR32" s="7">
        <f>'Factor D Back Up'!D474</f>
        <v>117</v>
      </c>
      <c r="AS32" s="7">
        <f>'Factor D Back Up'!E474</f>
        <v>10006.521367521367</v>
      </c>
      <c r="AT32" s="7">
        <f>'Factor D Back Up'!F474</f>
        <v>1170763</v>
      </c>
      <c r="AU32" s="7">
        <f>'Factor D Back Up'!G474</f>
        <v>5.9598283597961332</v>
      </c>
      <c r="AV32" s="7">
        <f>'Factor D Back Up'!H474</f>
        <v>6977546.5300000003</v>
      </c>
      <c r="AW32" s="7">
        <f>'Factor D Back Up'!D475</f>
        <v>118</v>
      </c>
      <c r="AX32" s="7">
        <f>'Factor D Back Up'!E475</f>
        <v>9904.3524695560081</v>
      </c>
      <c r="AY32" s="7">
        <f>'Factor D Back Up'!F475</f>
        <v>1168713.5914076089</v>
      </c>
      <c r="AZ32" s="7">
        <f>'Factor D Back Up'!G475</f>
        <v>6.03</v>
      </c>
      <c r="BA32" s="7">
        <f>'Factor D Back Up'!H475</f>
        <v>7047342.9561878825</v>
      </c>
    </row>
    <row r="33" spans="1:73" x14ac:dyDescent="0.25">
      <c r="A33" s="44" t="s">
        <v>219</v>
      </c>
      <c r="B33" s="2"/>
      <c r="C33" s="2"/>
      <c r="D33" s="21">
        <v>0</v>
      </c>
      <c r="E33" s="21">
        <v>0</v>
      </c>
      <c r="F33" s="21">
        <v>0</v>
      </c>
      <c r="G33" s="21">
        <v>0</v>
      </c>
      <c r="H33" s="21">
        <v>0</v>
      </c>
      <c r="I33" s="21">
        <v>0</v>
      </c>
      <c r="J33" s="22">
        <v>0</v>
      </c>
      <c r="K33" s="21">
        <v>0</v>
      </c>
      <c r="L33" s="24">
        <v>0</v>
      </c>
      <c r="M33" s="25">
        <v>0</v>
      </c>
      <c r="N33" s="21">
        <v>0</v>
      </c>
      <c r="O33" s="21">
        <v>0</v>
      </c>
      <c r="P33" s="21">
        <v>0</v>
      </c>
      <c r="Q33" s="24">
        <v>0</v>
      </c>
      <c r="R33" s="24">
        <v>0</v>
      </c>
      <c r="S33" s="21">
        <v>1</v>
      </c>
      <c r="T33" s="22">
        <f t="shared" ref="T33" si="16">U33/S33</f>
        <v>1</v>
      </c>
      <c r="U33" s="21">
        <v>1</v>
      </c>
      <c r="V33" s="24">
        <f t="shared" ref="V33" si="17">W33/U33</f>
        <v>500</v>
      </c>
      <c r="W33" s="24">
        <v>500</v>
      </c>
      <c r="X33" s="102">
        <v>0</v>
      </c>
      <c r="Y33" s="71">
        <v>0</v>
      </c>
      <c r="Z33" s="102">
        <v>0</v>
      </c>
      <c r="AA33" s="94">
        <v>0</v>
      </c>
      <c r="AB33" s="94">
        <v>0</v>
      </c>
      <c r="AC33" s="7">
        <f>'Factor D Back Up'!D489</f>
        <v>0</v>
      </c>
      <c r="AD33" s="8">
        <f>'Factor D Back Up'!E489</f>
        <v>0</v>
      </c>
      <c r="AE33" s="7">
        <f>'Factor D Back Up'!F489</f>
        <v>0</v>
      </c>
      <c r="AF33" s="5" t="e">
        <f>'Factor D Back Up'!G489</f>
        <v>#DIV/0!</v>
      </c>
      <c r="AG33" s="5">
        <f>'Factor D Back Up'!H489</f>
        <v>0</v>
      </c>
      <c r="AH33" s="7">
        <f>'Factor D Back Up'!D490</f>
        <v>0</v>
      </c>
      <c r="AI33" s="7">
        <f>'Factor D Back Up'!E490</f>
        <v>0</v>
      </c>
      <c r="AJ33" s="7">
        <f>'Factor D Back Up'!F490</f>
        <v>0</v>
      </c>
      <c r="AK33" s="7" t="e">
        <f>'Factor D Back Up'!G490</f>
        <v>#DIV/0!</v>
      </c>
      <c r="AL33" s="7">
        <f>'Factor D Back Up'!H490</f>
        <v>0</v>
      </c>
      <c r="AM33" s="7">
        <f>'Factor D Back Up'!D491</f>
        <v>0</v>
      </c>
      <c r="AN33" s="7">
        <f>'Factor D Back Up'!E491</f>
        <v>0</v>
      </c>
      <c r="AO33" s="7">
        <f>'Factor D Back Up'!F491</f>
        <v>0</v>
      </c>
      <c r="AP33" s="7" t="e">
        <f>'Factor D Back Up'!G491</f>
        <v>#DIV/0!</v>
      </c>
      <c r="AQ33" s="7">
        <f>'Factor D Back Up'!H491</f>
        <v>0</v>
      </c>
      <c r="AR33" s="7">
        <f>'Factor D Back Up'!D492</f>
        <v>0</v>
      </c>
      <c r="AS33" s="7">
        <f>'Factor D Back Up'!E492</f>
        <v>0</v>
      </c>
      <c r="AT33" s="7">
        <f>'Factor D Back Up'!F492</f>
        <v>0</v>
      </c>
      <c r="AU33" s="7" t="e">
        <f>'Factor D Back Up'!G492</f>
        <v>#DIV/0!</v>
      </c>
      <c r="AV33" s="7">
        <f>'Factor D Back Up'!H492</f>
        <v>0</v>
      </c>
      <c r="AW33" s="7">
        <f>'Factor D Back Up'!D493</f>
        <v>0</v>
      </c>
      <c r="AX33" s="7">
        <f>'Factor D Back Up'!E493</f>
        <v>0</v>
      </c>
      <c r="AY33" s="7">
        <f>'Factor D Back Up'!F493</f>
        <v>0</v>
      </c>
      <c r="AZ33" s="7" t="e">
        <f>'Factor D Back Up'!G493</f>
        <v>#DIV/0!</v>
      </c>
      <c r="BA33" s="7">
        <f>'Factor D Back Up'!H493</f>
        <v>0</v>
      </c>
    </row>
    <row r="34" spans="1:73" x14ac:dyDescent="0.25">
      <c r="A34" s="110" t="s">
        <v>132</v>
      </c>
      <c r="B34" s="2" t="s">
        <v>185</v>
      </c>
      <c r="C34" s="2" t="s">
        <v>153</v>
      </c>
      <c r="D34" s="21">
        <v>0</v>
      </c>
      <c r="E34" s="21">
        <v>0</v>
      </c>
      <c r="F34" s="21">
        <v>0</v>
      </c>
      <c r="G34" s="21">
        <v>0</v>
      </c>
      <c r="H34" s="21">
        <v>0</v>
      </c>
      <c r="I34" s="21">
        <v>0</v>
      </c>
      <c r="J34" s="22">
        <v>0</v>
      </c>
      <c r="K34" s="21">
        <v>0</v>
      </c>
      <c r="L34" s="24">
        <v>0</v>
      </c>
      <c r="M34" s="25">
        <v>0</v>
      </c>
      <c r="N34" s="21">
        <v>0</v>
      </c>
      <c r="O34" s="21">
        <v>0</v>
      </c>
      <c r="P34" s="21">
        <v>0</v>
      </c>
      <c r="Q34" s="24">
        <v>0</v>
      </c>
      <c r="R34" s="24">
        <v>0</v>
      </c>
      <c r="S34" s="21">
        <v>0</v>
      </c>
      <c r="T34" s="22">
        <v>0</v>
      </c>
      <c r="U34" s="21">
        <v>0</v>
      </c>
      <c r="V34" s="24">
        <v>0</v>
      </c>
      <c r="W34" s="24">
        <v>0</v>
      </c>
      <c r="X34" s="102">
        <v>0</v>
      </c>
      <c r="Y34" s="71">
        <v>0</v>
      </c>
      <c r="Z34" s="102">
        <v>0</v>
      </c>
      <c r="AA34" s="94">
        <v>0</v>
      </c>
      <c r="AB34" s="94">
        <v>0</v>
      </c>
      <c r="AC34" s="7">
        <f>'Factor D Back Up'!D502</f>
        <v>0</v>
      </c>
      <c r="AD34" s="8">
        <f>'Factor D Back Up'!E502</f>
        <v>0</v>
      </c>
      <c r="AE34" s="7">
        <f>'Factor D Back Up'!F502</f>
        <v>0</v>
      </c>
      <c r="AF34" s="5" t="e">
        <f>'Factor D Back Up'!G502</f>
        <v>#DIV/0!</v>
      </c>
      <c r="AG34" s="5">
        <f>'Factor D Back Up'!H502</f>
        <v>0</v>
      </c>
      <c r="AH34" s="7">
        <f>'Factor D Back Up'!D503</f>
        <v>0</v>
      </c>
      <c r="AI34" s="7">
        <f>'Factor D Back Up'!E503</f>
        <v>0</v>
      </c>
      <c r="AJ34" s="7">
        <f>'Factor D Back Up'!F503</f>
        <v>0</v>
      </c>
      <c r="AK34" s="7" t="e">
        <f>'Factor D Back Up'!G503</f>
        <v>#DIV/0!</v>
      </c>
      <c r="AL34" s="7">
        <f>'Factor D Back Up'!H503</f>
        <v>0</v>
      </c>
      <c r="AM34" s="7">
        <f>'Factor D Back Up'!D504</f>
        <v>2</v>
      </c>
      <c r="AN34" s="7">
        <f>'Factor D Back Up'!E504</f>
        <v>1</v>
      </c>
      <c r="AO34" s="7">
        <f>'Factor D Back Up'!F504</f>
        <v>2</v>
      </c>
      <c r="AP34" s="7">
        <f>'Factor D Back Up'!G504</f>
        <v>50</v>
      </c>
      <c r="AQ34" s="7">
        <f>'Factor D Back Up'!H504</f>
        <v>100</v>
      </c>
      <c r="AR34" s="7">
        <f>'Factor D Back Up'!D505</f>
        <v>1</v>
      </c>
      <c r="AS34" s="7">
        <f>'Factor D Back Up'!E505</f>
        <v>1</v>
      </c>
      <c r="AT34" s="7">
        <f>'Factor D Back Up'!F505</f>
        <v>1</v>
      </c>
      <c r="AU34" s="7">
        <f>'Factor D Back Up'!G505</f>
        <v>50</v>
      </c>
      <c r="AV34" s="7">
        <f>'Factor D Back Up'!H505</f>
        <v>50</v>
      </c>
      <c r="AW34" s="7">
        <f>'Factor D Back Up'!D506</f>
        <v>0</v>
      </c>
      <c r="AX34" s="7">
        <f>'Factor D Back Up'!E506</f>
        <v>1</v>
      </c>
      <c r="AY34" s="7">
        <f>'Factor D Back Up'!F506</f>
        <v>0</v>
      </c>
      <c r="AZ34" s="7">
        <f>'Factor D Back Up'!G506</f>
        <v>50</v>
      </c>
      <c r="BA34" s="7">
        <f>'Factor D Back Up'!H506</f>
        <v>0</v>
      </c>
    </row>
    <row r="35" spans="1:73" x14ac:dyDescent="0.25">
      <c r="A35" s="110" t="s">
        <v>133</v>
      </c>
      <c r="B35" s="2" t="s">
        <v>134</v>
      </c>
      <c r="C35" s="2" t="s">
        <v>153</v>
      </c>
      <c r="D35" s="21">
        <v>0</v>
      </c>
      <c r="E35" s="21">
        <v>0</v>
      </c>
      <c r="F35" s="21">
        <v>0</v>
      </c>
      <c r="G35" s="21">
        <v>0</v>
      </c>
      <c r="H35" s="21">
        <v>0</v>
      </c>
      <c r="I35" s="21">
        <v>0</v>
      </c>
      <c r="J35" s="22">
        <v>0</v>
      </c>
      <c r="K35" s="21">
        <v>0</v>
      </c>
      <c r="L35" s="24">
        <v>0</v>
      </c>
      <c r="M35" s="25">
        <v>0</v>
      </c>
      <c r="N35" s="21">
        <v>0</v>
      </c>
      <c r="O35" s="21">
        <v>0</v>
      </c>
      <c r="P35" s="21">
        <v>0</v>
      </c>
      <c r="Q35" s="24">
        <v>0</v>
      </c>
      <c r="R35" s="24">
        <v>0</v>
      </c>
      <c r="S35" s="21">
        <v>0</v>
      </c>
      <c r="T35" s="22">
        <v>0</v>
      </c>
      <c r="U35" s="21">
        <v>0</v>
      </c>
      <c r="V35" s="24">
        <v>0</v>
      </c>
      <c r="W35" s="24">
        <v>0</v>
      </c>
      <c r="X35" s="102">
        <v>0</v>
      </c>
      <c r="Y35" s="71">
        <v>0</v>
      </c>
      <c r="Z35" s="102">
        <v>0</v>
      </c>
      <c r="AA35" s="94">
        <v>0</v>
      </c>
      <c r="AB35" s="94">
        <v>0</v>
      </c>
      <c r="AC35" s="7">
        <f>'Factor D Back Up'!D520</f>
        <v>0</v>
      </c>
      <c r="AD35" s="8">
        <f>'Factor D Back Up'!E520</f>
        <v>0</v>
      </c>
      <c r="AE35" s="7">
        <f>'Factor D Back Up'!F520</f>
        <v>0</v>
      </c>
      <c r="AF35" s="5" t="e">
        <f>'Factor D Back Up'!G520</f>
        <v>#DIV/0!</v>
      </c>
      <c r="AG35" s="5">
        <f>'Factor D Back Up'!H520</f>
        <v>0</v>
      </c>
      <c r="AH35" s="7">
        <f>'Factor D Back Up'!D521</f>
        <v>2</v>
      </c>
      <c r="AI35" s="7">
        <f>'Factor D Back Up'!E521</f>
        <v>1.5</v>
      </c>
      <c r="AJ35" s="7">
        <f>'Factor D Back Up'!F521</f>
        <v>3</v>
      </c>
      <c r="AK35" s="7">
        <f>'Factor D Back Up'!G521</f>
        <v>30</v>
      </c>
      <c r="AL35" s="7">
        <f>'Factor D Back Up'!H521</f>
        <v>90</v>
      </c>
      <c r="AM35" s="7">
        <f>'Factor D Back Up'!D522</f>
        <v>3</v>
      </c>
      <c r="AN35" s="7">
        <f>'Factor D Back Up'!E522</f>
        <v>9</v>
      </c>
      <c r="AO35" s="7">
        <f>'Factor D Back Up'!F522</f>
        <v>27</v>
      </c>
      <c r="AP35" s="7">
        <f>'Factor D Back Up'!G522</f>
        <v>30</v>
      </c>
      <c r="AQ35" s="7">
        <f>'Factor D Back Up'!H522</f>
        <v>810</v>
      </c>
      <c r="AR35" s="7">
        <f>'Factor D Back Up'!D523</f>
        <v>3</v>
      </c>
      <c r="AS35" s="7">
        <f>'Factor D Back Up'!E523</f>
        <v>4</v>
      </c>
      <c r="AT35" s="7">
        <f>'Factor D Back Up'!F523</f>
        <v>12</v>
      </c>
      <c r="AU35" s="7">
        <f>'Factor D Back Up'!G523</f>
        <v>30</v>
      </c>
      <c r="AV35" s="7">
        <f>'Factor D Back Up'!H523</f>
        <v>360</v>
      </c>
      <c r="AW35" s="7">
        <f>'Factor D Back Up'!D524</f>
        <v>0</v>
      </c>
      <c r="AX35" s="7">
        <f>'Factor D Back Up'!E524</f>
        <v>1</v>
      </c>
      <c r="AY35" s="7">
        <f>'Factor D Back Up'!F524</f>
        <v>0</v>
      </c>
      <c r="AZ35" s="7">
        <f>'Factor D Back Up'!G524</f>
        <v>30.7</v>
      </c>
      <c r="BA35" s="7">
        <f>'Factor D Back Up'!H524</f>
        <v>0</v>
      </c>
    </row>
    <row r="36" spans="1:73" x14ac:dyDescent="0.25">
      <c r="A36" s="110" t="s">
        <v>220</v>
      </c>
      <c r="B36" s="2"/>
      <c r="C36" s="2"/>
      <c r="D36" s="21">
        <v>0</v>
      </c>
      <c r="E36" s="21">
        <v>0</v>
      </c>
      <c r="F36" s="21">
        <v>0</v>
      </c>
      <c r="G36" s="21">
        <v>0</v>
      </c>
      <c r="H36" s="21">
        <v>0</v>
      </c>
      <c r="I36" s="21">
        <v>0</v>
      </c>
      <c r="J36" s="22">
        <v>0</v>
      </c>
      <c r="K36" s="21">
        <v>0</v>
      </c>
      <c r="L36" s="24">
        <v>0</v>
      </c>
      <c r="M36" s="25">
        <v>0</v>
      </c>
      <c r="N36" s="21">
        <v>0</v>
      </c>
      <c r="O36" s="21">
        <v>0</v>
      </c>
      <c r="P36" s="21">
        <v>0</v>
      </c>
      <c r="Q36" s="24">
        <v>0</v>
      </c>
      <c r="R36" s="24">
        <v>0</v>
      </c>
      <c r="S36" s="21">
        <v>0</v>
      </c>
      <c r="T36" s="22">
        <v>0</v>
      </c>
      <c r="U36" s="21">
        <v>0</v>
      </c>
      <c r="V36" s="24">
        <v>0</v>
      </c>
      <c r="W36" s="24">
        <v>0</v>
      </c>
      <c r="X36" s="102">
        <v>0</v>
      </c>
      <c r="Y36" s="71">
        <v>0</v>
      </c>
      <c r="Z36" s="102">
        <v>0</v>
      </c>
      <c r="AA36" s="94">
        <v>0</v>
      </c>
      <c r="AB36" s="94">
        <v>0</v>
      </c>
      <c r="AC36" s="7">
        <f>'Factor D Back Up'!D538</f>
        <v>0</v>
      </c>
      <c r="AD36" s="8">
        <f>'Factor D Back Up'!E538</f>
        <v>0</v>
      </c>
      <c r="AE36" s="7">
        <f>'Factor D Back Up'!F538</f>
        <v>0</v>
      </c>
      <c r="AF36" s="5" t="e">
        <f>'Factor D Back Up'!G538</f>
        <v>#DIV/0!</v>
      </c>
      <c r="AG36" s="5">
        <f>'Factor D Back Up'!H538</f>
        <v>0</v>
      </c>
      <c r="AH36" s="7">
        <f>'Factor D Back Up'!D539</f>
        <v>0</v>
      </c>
      <c r="AI36" s="7">
        <f>'Factor D Back Up'!E539</f>
        <v>0</v>
      </c>
      <c r="AJ36" s="7">
        <f>'Factor D Back Up'!F539</f>
        <v>0</v>
      </c>
      <c r="AK36" s="7" t="e">
        <f>'Factor D Back Up'!G539</f>
        <v>#DIV/0!</v>
      </c>
      <c r="AL36" s="7">
        <f>'Factor D Back Up'!H539</f>
        <v>0</v>
      </c>
      <c r="AM36" s="7">
        <f>'Factor D Back Up'!D540</f>
        <v>0</v>
      </c>
      <c r="AN36" s="7">
        <f>'Factor D Back Up'!E540</f>
        <v>0</v>
      </c>
      <c r="AO36" s="7">
        <f>'Factor D Back Up'!F540</f>
        <v>0</v>
      </c>
      <c r="AP36" s="7" t="e">
        <f>'Factor D Back Up'!G540</f>
        <v>#DIV/0!</v>
      </c>
      <c r="AQ36" s="7">
        <f>'Factor D Back Up'!H540</f>
        <v>0</v>
      </c>
      <c r="AR36" s="7">
        <f>'Factor D Back Up'!D541</f>
        <v>0</v>
      </c>
      <c r="AS36" s="7">
        <f>'Factor D Back Up'!E541</f>
        <v>0</v>
      </c>
      <c r="AT36" s="7">
        <f>'Factor D Back Up'!F541</f>
        <v>0</v>
      </c>
      <c r="AU36" s="7" t="e">
        <f>'Factor D Back Up'!G541</f>
        <v>#DIV/0!</v>
      </c>
      <c r="AV36" s="7">
        <f>'Factor D Back Up'!H541</f>
        <v>0</v>
      </c>
      <c r="AW36" s="7">
        <f>'Factor D Back Up'!D542</f>
        <v>0</v>
      </c>
      <c r="AX36" s="7">
        <f>'Factor D Back Up'!E542</f>
        <v>0</v>
      </c>
      <c r="AY36" s="7">
        <f>'Factor D Back Up'!F542</f>
        <v>0</v>
      </c>
      <c r="AZ36" s="7" t="e">
        <f>'Factor D Back Up'!G542</f>
        <v>#DIV/0!</v>
      </c>
      <c r="BA36" s="7">
        <f>'Factor D Back Up'!H542</f>
        <v>0</v>
      </c>
    </row>
    <row r="37" spans="1:73" x14ac:dyDescent="0.25">
      <c r="A37" s="110" t="s">
        <v>221</v>
      </c>
      <c r="B37" s="2" t="s">
        <v>184</v>
      </c>
      <c r="C37" s="2" t="s">
        <v>152</v>
      </c>
      <c r="D37" s="21">
        <v>332</v>
      </c>
      <c r="E37" s="22">
        <f t="shared" si="0"/>
        <v>3855.7921686746986</v>
      </c>
      <c r="F37" s="21">
        <v>1280123</v>
      </c>
      <c r="G37" s="25">
        <f t="shared" si="1"/>
        <v>5.1312408417003681</v>
      </c>
      <c r="H37" s="274">
        <v>6568619.4199999999</v>
      </c>
      <c r="I37" s="21">
        <v>320</v>
      </c>
      <c r="J37" s="22">
        <f t="shared" si="6"/>
        <v>5016.5</v>
      </c>
      <c r="K37" s="21">
        <v>1605280</v>
      </c>
      <c r="L37" s="24">
        <f t="shared" si="2"/>
        <v>5.1346215987242108</v>
      </c>
      <c r="M37" s="274">
        <v>8242505.3600000003</v>
      </c>
      <c r="N37" s="21">
        <v>359</v>
      </c>
      <c r="O37" s="22">
        <f t="shared" ref="O37:O78" si="18">P37/N37</f>
        <v>5082.1559888579386</v>
      </c>
      <c r="P37" s="21">
        <v>1824494</v>
      </c>
      <c r="Q37" s="24">
        <f t="shared" ref="Q37:Q78" si="19">R37/P37</f>
        <v>5.1177936238759898</v>
      </c>
      <c r="R37" s="274">
        <v>9337383.7599999998</v>
      </c>
      <c r="S37" s="21">
        <v>378</v>
      </c>
      <c r="T37" s="22">
        <f t="shared" ref="T37:T42" si="20">U37/S37</f>
        <v>5502.7619047619046</v>
      </c>
      <c r="U37" s="21">
        <v>2080044</v>
      </c>
      <c r="V37" s="24">
        <f t="shared" ref="V37:V42" si="21">W37/U37</f>
        <v>5.1478918715181026</v>
      </c>
      <c r="W37" s="24">
        <v>10707841.6</v>
      </c>
      <c r="X37" s="102">
        <v>422</v>
      </c>
      <c r="Y37" s="71">
        <f t="shared" si="8"/>
        <v>5747.9519668246448</v>
      </c>
      <c r="Z37" s="102">
        <v>2425635.73</v>
      </c>
      <c r="AA37" s="94">
        <f t="shared" si="9"/>
        <v>5.1488877886870501</v>
      </c>
      <c r="AB37" s="94">
        <v>12489326.189999999</v>
      </c>
      <c r="AC37" s="7">
        <f>'Factor D Back Up'!D551</f>
        <v>827</v>
      </c>
      <c r="AD37" s="8">
        <f>'Factor D Back Up'!E551</f>
        <v>3454.8839177750906</v>
      </c>
      <c r="AE37" s="7">
        <f>'Factor D Back Up'!F551</f>
        <v>2857189</v>
      </c>
      <c r="AF37" s="5">
        <f>'Factor D Back Up'!G551</f>
        <v>5.2135698408470708</v>
      </c>
      <c r="AG37" s="5">
        <f>'Factor D Back Up'!H551</f>
        <v>14896154.4</v>
      </c>
      <c r="AH37" s="7">
        <f>'Factor D Back Up'!D552</f>
        <v>873</v>
      </c>
      <c r="AI37" s="7">
        <f>'Factor D Back Up'!E552</f>
        <v>3634.1271477663231</v>
      </c>
      <c r="AJ37" s="7">
        <f>'Factor D Back Up'!F552</f>
        <v>3172593</v>
      </c>
      <c r="AK37" s="7">
        <f>'Factor D Back Up'!G552</f>
        <v>5.2796124967810245</v>
      </c>
      <c r="AL37" s="7">
        <f>'Factor D Back Up'!H552</f>
        <v>16750061.65</v>
      </c>
      <c r="AM37" s="7">
        <f>'Factor D Back Up'!D553</f>
        <v>509</v>
      </c>
      <c r="AN37" s="7">
        <f>'Factor D Back Up'!E553</f>
        <v>6842.5245579567782</v>
      </c>
      <c r="AO37" s="7">
        <f>'Factor D Back Up'!F553</f>
        <v>3482845</v>
      </c>
      <c r="AP37" s="7">
        <f>'Factor D Back Up'!G553</f>
        <v>5.7083939595359539</v>
      </c>
      <c r="AQ37" s="7">
        <f>'Factor D Back Up'!H553</f>
        <v>19881451.359999999</v>
      </c>
      <c r="AR37" s="7">
        <f>'Factor D Back Up'!D554</f>
        <v>555</v>
      </c>
      <c r="AS37" s="7">
        <f>'Factor D Back Up'!E554</f>
        <v>6796.6054054054057</v>
      </c>
      <c r="AT37" s="7">
        <f>'Factor D Back Up'!F554</f>
        <v>3772116</v>
      </c>
      <c r="AU37" s="7">
        <f>'Factor D Back Up'!G554</f>
        <v>5.7839296113905299</v>
      </c>
      <c r="AV37" s="7">
        <f>'Factor D Back Up'!H554</f>
        <v>21817653.43</v>
      </c>
      <c r="AW37" s="7">
        <f>'Factor D Back Up'!D555</f>
        <v>568</v>
      </c>
      <c r="AX37" s="7">
        <f>'Factor D Back Up'!E555</f>
        <v>6124.5465603914399</v>
      </c>
      <c r="AY37" s="7">
        <f>'Factor D Back Up'!F555</f>
        <v>3478742.446302338</v>
      </c>
      <c r="AZ37" s="7">
        <f>'Factor D Back Up'!G555</f>
        <v>5.88</v>
      </c>
      <c r="BA37" s="7">
        <f>'Factor D Back Up'!H555</f>
        <v>20455005.584257748</v>
      </c>
    </row>
    <row r="38" spans="1:73" x14ac:dyDescent="0.25">
      <c r="A38" s="110" t="s">
        <v>222</v>
      </c>
      <c r="B38" s="2"/>
      <c r="C38" s="2"/>
      <c r="D38" s="21">
        <v>0</v>
      </c>
      <c r="E38" s="22">
        <v>0</v>
      </c>
      <c r="F38" s="21">
        <v>0</v>
      </c>
      <c r="G38" s="25">
        <v>0</v>
      </c>
      <c r="H38" s="24">
        <v>0</v>
      </c>
      <c r="I38" s="21">
        <v>0</v>
      </c>
      <c r="J38" s="22">
        <v>0</v>
      </c>
      <c r="K38" s="21">
        <v>0</v>
      </c>
      <c r="L38" s="24">
        <v>0</v>
      </c>
      <c r="M38" s="25">
        <v>0</v>
      </c>
      <c r="N38" s="21">
        <v>0</v>
      </c>
      <c r="O38" s="22">
        <v>0</v>
      </c>
      <c r="P38" s="21">
        <v>0</v>
      </c>
      <c r="Q38" s="24">
        <v>0</v>
      </c>
      <c r="R38" s="24">
        <v>0</v>
      </c>
      <c r="S38" s="21">
        <v>0</v>
      </c>
      <c r="T38" s="22">
        <v>0</v>
      </c>
      <c r="U38" s="21">
        <v>0</v>
      </c>
      <c r="V38" s="24">
        <v>0</v>
      </c>
      <c r="W38" s="24">
        <v>0</v>
      </c>
      <c r="X38" s="102">
        <v>0</v>
      </c>
      <c r="Y38" s="71">
        <v>0</v>
      </c>
      <c r="Z38" s="102">
        <v>0</v>
      </c>
      <c r="AA38" s="94">
        <v>0</v>
      </c>
      <c r="AB38" s="94">
        <v>0</v>
      </c>
      <c r="AC38" s="7">
        <f>'Factor D Back Up'!D569</f>
        <v>0</v>
      </c>
      <c r="AD38" s="8">
        <f>'Factor D Back Up'!E569</f>
        <v>0</v>
      </c>
      <c r="AE38" s="7">
        <f>'Factor D Back Up'!F569</f>
        <v>0</v>
      </c>
      <c r="AF38" s="5">
        <f>'Factor D Back Up'!G569</f>
        <v>0</v>
      </c>
      <c r="AG38" s="5">
        <f>'Factor D Back Up'!H569</f>
        <v>0</v>
      </c>
      <c r="AH38" s="7">
        <f>'Factor D Back Up'!D570</f>
        <v>0</v>
      </c>
      <c r="AI38" s="7">
        <f>'Factor D Back Up'!E570</f>
        <v>0</v>
      </c>
      <c r="AJ38" s="7">
        <f>'Factor D Back Up'!F570</f>
        <v>0</v>
      </c>
      <c r="AK38" s="7">
        <f>'Factor D Back Up'!G570</f>
        <v>0</v>
      </c>
      <c r="AL38" s="7">
        <f>'Factor D Back Up'!H570</f>
        <v>0</v>
      </c>
      <c r="AM38" s="7">
        <f>'Factor D Back Up'!D571</f>
        <v>0</v>
      </c>
      <c r="AN38" s="7">
        <f>'Factor D Back Up'!E571</f>
        <v>0</v>
      </c>
      <c r="AO38" s="7">
        <f>'Factor D Back Up'!F571</f>
        <v>0</v>
      </c>
      <c r="AP38" s="7">
        <f>'Factor D Back Up'!G571</f>
        <v>0</v>
      </c>
      <c r="AQ38" s="7">
        <f>'Factor D Back Up'!H571</f>
        <v>0</v>
      </c>
      <c r="AR38" s="7">
        <f>'Factor D Back Up'!D572</f>
        <v>0</v>
      </c>
      <c r="AS38" s="7">
        <f>'Factor D Back Up'!E572</f>
        <v>0</v>
      </c>
      <c r="AT38" s="7">
        <f>'Factor D Back Up'!F572</f>
        <v>0</v>
      </c>
      <c r="AU38" s="7">
        <f>'Factor D Back Up'!G572</f>
        <v>0</v>
      </c>
      <c r="AV38" s="7">
        <f>'Factor D Back Up'!H572</f>
        <v>0</v>
      </c>
      <c r="AW38" s="7">
        <f>'Factor D Back Up'!D573</f>
        <v>0</v>
      </c>
      <c r="AX38" s="7">
        <f>'Factor D Back Up'!E573</f>
        <v>0</v>
      </c>
      <c r="AY38" s="7">
        <f>'Factor D Back Up'!F573</f>
        <v>0</v>
      </c>
      <c r="AZ38" s="7">
        <f>'Factor D Back Up'!G573</f>
        <v>0</v>
      </c>
      <c r="BA38" s="7">
        <f>'Factor D Back Up'!H573</f>
        <v>0</v>
      </c>
    </row>
    <row r="39" spans="1:73" x14ac:dyDescent="0.25">
      <c r="A39" s="110" t="s">
        <v>96</v>
      </c>
      <c r="B39" s="2" t="s">
        <v>184</v>
      </c>
      <c r="C39" s="2" t="s">
        <v>135</v>
      </c>
      <c r="D39" s="21">
        <v>16</v>
      </c>
      <c r="E39" s="22">
        <f t="shared" si="0"/>
        <v>102.1875</v>
      </c>
      <c r="F39" s="21">
        <v>1635</v>
      </c>
      <c r="G39" s="25">
        <f t="shared" si="1"/>
        <v>135.41284403669724</v>
      </c>
      <c r="H39" s="274">
        <v>221400</v>
      </c>
      <c r="I39" s="21">
        <v>23</v>
      </c>
      <c r="J39" s="22">
        <f t="shared" si="6"/>
        <v>245</v>
      </c>
      <c r="K39" s="21">
        <v>5635</v>
      </c>
      <c r="L39" s="24">
        <f>M39/K39</f>
        <v>136</v>
      </c>
      <c r="M39" s="274">
        <v>766360</v>
      </c>
      <c r="N39" s="21">
        <v>21</v>
      </c>
      <c r="O39" s="22">
        <f t="shared" si="18"/>
        <v>302</v>
      </c>
      <c r="P39" s="21">
        <v>6342</v>
      </c>
      <c r="Q39" s="24">
        <f t="shared" si="19"/>
        <v>136</v>
      </c>
      <c r="R39" s="274">
        <v>862512</v>
      </c>
      <c r="S39" s="21">
        <v>26</v>
      </c>
      <c r="T39" s="22">
        <f t="shared" si="20"/>
        <v>217</v>
      </c>
      <c r="U39" s="21">
        <v>5642</v>
      </c>
      <c r="V39" s="24">
        <f t="shared" si="21"/>
        <v>135.96143211627083</v>
      </c>
      <c r="W39" s="24">
        <v>767094.4</v>
      </c>
      <c r="X39" s="102">
        <v>19</v>
      </c>
      <c r="Y39" s="71">
        <f t="shared" si="8"/>
        <v>229.52631578947367</v>
      </c>
      <c r="Z39" s="102">
        <v>4361</v>
      </c>
      <c r="AA39" s="94">
        <f t="shared" si="9"/>
        <v>135.93825269433614</v>
      </c>
      <c r="AB39" s="94">
        <v>592826.72</v>
      </c>
      <c r="AC39" s="7">
        <f>'Factor D Back Up'!D582</f>
        <v>31</v>
      </c>
      <c r="AD39" s="8">
        <f>'Factor D Back Up'!E582</f>
        <v>149.70967741935485</v>
      </c>
      <c r="AE39" s="7">
        <f>'Factor D Back Up'!F582</f>
        <v>4641</v>
      </c>
      <c r="AF39" s="5">
        <f>'Factor D Back Up'!G582</f>
        <v>136</v>
      </c>
      <c r="AG39" s="5">
        <f>'Factor D Back Up'!H582</f>
        <v>631176</v>
      </c>
      <c r="AH39" s="7">
        <f>'Factor D Back Up'!D583</f>
        <v>43</v>
      </c>
      <c r="AI39" s="7">
        <f>'Factor D Back Up'!E583</f>
        <v>150.55813953488371</v>
      </c>
      <c r="AJ39" s="7">
        <f>'Factor D Back Up'!F583</f>
        <v>6474</v>
      </c>
      <c r="AK39" s="7">
        <f>'Factor D Back Up'!G583</f>
        <v>137.04263206672846</v>
      </c>
      <c r="AL39" s="7">
        <f>'Factor D Back Up'!H583</f>
        <v>887214</v>
      </c>
      <c r="AM39" s="7">
        <f>'Factor D Back Up'!D584</f>
        <v>39</v>
      </c>
      <c r="AN39" s="7">
        <f>'Factor D Back Up'!E584</f>
        <v>259.02564102564105</v>
      </c>
      <c r="AO39" s="7">
        <f>'Factor D Back Up'!F584</f>
        <v>10102</v>
      </c>
      <c r="AP39" s="7">
        <f>'Factor D Back Up'!G584</f>
        <v>142.48847653929917</v>
      </c>
      <c r="AQ39" s="7">
        <f>'Factor D Back Up'!H584</f>
        <v>1439418.59</v>
      </c>
      <c r="AR39" s="7">
        <f>'Factor D Back Up'!D585</f>
        <v>37</v>
      </c>
      <c r="AS39" s="7">
        <f>'Factor D Back Up'!E585</f>
        <v>283.10810810810813</v>
      </c>
      <c r="AT39" s="7">
        <f>'Factor D Back Up'!F585</f>
        <v>10475</v>
      </c>
      <c r="AU39" s="7">
        <f>'Factor D Back Up'!G585</f>
        <v>149.81803341288781</v>
      </c>
      <c r="AV39" s="7">
        <f>'Factor D Back Up'!H585</f>
        <v>1569343.9</v>
      </c>
      <c r="AW39" s="7">
        <f>'Factor D Back Up'!D586</f>
        <v>37</v>
      </c>
      <c r="AX39" s="7">
        <f>'Factor D Back Up'!E586</f>
        <v>248.30732270420651</v>
      </c>
      <c r="AY39" s="7">
        <f>'Factor D Back Up'!F586</f>
        <v>9187.3709400556418</v>
      </c>
      <c r="AZ39" s="7">
        <f>'Factor D Back Up'!G586</f>
        <v>153.56</v>
      </c>
      <c r="BA39" s="7">
        <f>'Factor D Back Up'!H586</f>
        <v>1410812.6815549443</v>
      </c>
    </row>
    <row r="40" spans="1:73" x14ac:dyDescent="0.25">
      <c r="A40" s="110" t="s">
        <v>97</v>
      </c>
      <c r="B40" s="2" t="s">
        <v>184</v>
      </c>
      <c r="C40" s="2" t="s">
        <v>135</v>
      </c>
      <c r="D40" s="21">
        <v>7</v>
      </c>
      <c r="E40" s="22">
        <f t="shared" si="0"/>
        <v>99.714285714285708</v>
      </c>
      <c r="F40" s="21">
        <v>698</v>
      </c>
      <c r="G40" s="25">
        <f t="shared" si="1"/>
        <v>150.47277936962752</v>
      </c>
      <c r="H40" s="274">
        <v>105030</v>
      </c>
      <c r="I40" s="21">
        <v>25</v>
      </c>
      <c r="J40" s="22">
        <f t="shared" si="6"/>
        <v>152.52000000000001</v>
      </c>
      <c r="K40" s="21">
        <v>3813</v>
      </c>
      <c r="L40" s="24">
        <f t="shared" si="2"/>
        <v>152.89299763965383</v>
      </c>
      <c r="M40" s="274">
        <v>582981</v>
      </c>
      <c r="N40" s="21">
        <v>39</v>
      </c>
      <c r="O40" s="22">
        <f t="shared" si="18"/>
        <v>239.25641025641025</v>
      </c>
      <c r="P40" s="21">
        <v>9331</v>
      </c>
      <c r="Q40" s="24">
        <f t="shared" si="19"/>
        <v>152.95080913085414</v>
      </c>
      <c r="R40" s="274">
        <v>1427184</v>
      </c>
      <c r="S40" s="21">
        <v>56</v>
      </c>
      <c r="T40" s="22">
        <f t="shared" si="20"/>
        <v>202.83928571428572</v>
      </c>
      <c r="U40" s="21">
        <v>11359</v>
      </c>
      <c r="V40" s="24">
        <f t="shared" si="21"/>
        <v>152.27638876661678</v>
      </c>
      <c r="W40" s="24">
        <v>1729707.5</v>
      </c>
      <c r="X40" s="102">
        <v>60</v>
      </c>
      <c r="Y40" s="71">
        <f t="shared" si="8"/>
        <v>267.33333333333331</v>
      </c>
      <c r="Z40" s="102">
        <v>16040</v>
      </c>
      <c r="AA40" s="94">
        <f t="shared" si="9"/>
        <v>152.88129675810472</v>
      </c>
      <c r="AB40" s="94">
        <v>2452216</v>
      </c>
      <c r="AC40" s="7">
        <f>'Factor D Back Up'!D600</f>
        <v>113</v>
      </c>
      <c r="AD40" s="8">
        <f>'Factor D Back Up'!E600</f>
        <v>152.31858407079645</v>
      </c>
      <c r="AE40" s="7">
        <f>'Factor D Back Up'!F600</f>
        <v>17212</v>
      </c>
      <c r="AF40" s="5">
        <f>'Factor D Back Up'!G600</f>
        <v>153</v>
      </c>
      <c r="AG40" s="5">
        <f>'Factor D Back Up'!H600</f>
        <v>2633436</v>
      </c>
      <c r="AH40" s="7">
        <f>'Factor D Back Up'!D601</f>
        <v>101</v>
      </c>
      <c r="AI40" s="7">
        <f>'Factor D Back Up'!E601</f>
        <v>140.96039603960395</v>
      </c>
      <c r="AJ40" s="7">
        <f>'Factor D Back Up'!F601</f>
        <v>14237</v>
      </c>
      <c r="AK40" s="7">
        <f>'Factor D Back Up'!G601</f>
        <v>152.73287911779167</v>
      </c>
      <c r="AL40" s="7">
        <f>'Factor D Back Up'!H601</f>
        <v>2174458</v>
      </c>
      <c r="AM40" s="7">
        <f>'Factor D Back Up'!D602</f>
        <v>31</v>
      </c>
      <c r="AN40" s="7">
        <f>'Factor D Back Up'!E602</f>
        <v>277.96774193548384</v>
      </c>
      <c r="AO40" s="7">
        <f>'Factor D Back Up'!F602</f>
        <v>8617</v>
      </c>
      <c r="AP40" s="7">
        <f>'Factor D Back Up'!G602</f>
        <v>161.31983288847627</v>
      </c>
      <c r="AQ40" s="7">
        <f>'Factor D Back Up'!H602</f>
        <v>1390093</v>
      </c>
      <c r="AR40" s="7">
        <f>'Factor D Back Up'!D603</f>
        <v>25</v>
      </c>
      <c r="AS40" s="7">
        <f>'Factor D Back Up'!E603</f>
        <v>283.76</v>
      </c>
      <c r="AT40" s="7">
        <f>'Factor D Back Up'!F603</f>
        <v>7094</v>
      </c>
      <c r="AU40" s="7">
        <f>'Factor D Back Up'!G603</f>
        <v>168.30737101776148</v>
      </c>
      <c r="AV40" s="7">
        <f>'Factor D Back Up'!H603</f>
        <v>1193972.49</v>
      </c>
      <c r="AW40" s="7">
        <f>'Factor D Back Up'!D604</f>
        <v>24</v>
      </c>
      <c r="AX40" s="7">
        <f>'Factor D Back Up'!E604</f>
        <v>274.25707225745077</v>
      </c>
      <c r="AY40" s="7">
        <f>'Factor D Back Up'!F604</f>
        <v>6582.1697341788185</v>
      </c>
      <c r="AZ40" s="7">
        <f>'Factor D Back Up'!G604</f>
        <v>171.74</v>
      </c>
      <c r="BA40" s="7">
        <f>'Factor D Back Up'!H604</f>
        <v>1130421.8301478704</v>
      </c>
    </row>
    <row r="41" spans="1:73" x14ac:dyDescent="0.25">
      <c r="A41" s="110" t="s">
        <v>73</v>
      </c>
      <c r="B41" s="2" t="s">
        <v>184</v>
      </c>
      <c r="C41" s="2" t="s">
        <v>135</v>
      </c>
      <c r="D41" s="21">
        <v>11</v>
      </c>
      <c r="E41" s="22">
        <f t="shared" si="0"/>
        <v>61.454545454545453</v>
      </c>
      <c r="F41" s="21">
        <v>676</v>
      </c>
      <c r="G41" s="25">
        <f t="shared" si="1"/>
        <v>196</v>
      </c>
      <c r="H41" s="274">
        <v>132496</v>
      </c>
      <c r="I41" s="21">
        <v>22</v>
      </c>
      <c r="J41" s="22">
        <f t="shared" si="6"/>
        <v>208.40909090909091</v>
      </c>
      <c r="K41" s="21">
        <v>4585</v>
      </c>
      <c r="L41" s="24">
        <f t="shared" si="2"/>
        <v>195.09552889858233</v>
      </c>
      <c r="M41" s="274">
        <v>894513</v>
      </c>
      <c r="N41" s="21">
        <v>23</v>
      </c>
      <c r="O41" s="22">
        <f t="shared" si="18"/>
        <v>290.6521739130435</v>
      </c>
      <c r="P41" s="21">
        <v>6685</v>
      </c>
      <c r="Q41" s="24">
        <f t="shared" si="19"/>
        <v>195.99177262528048</v>
      </c>
      <c r="R41" s="274">
        <v>1310205</v>
      </c>
      <c r="S41" s="21">
        <v>24</v>
      </c>
      <c r="T41" s="22">
        <f t="shared" si="20"/>
        <v>276.95833333333331</v>
      </c>
      <c r="U41" s="21">
        <v>6647</v>
      </c>
      <c r="V41" s="24">
        <f t="shared" si="21"/>
        <v>196</v>
      </c>
      <c r="W41" s="24">
        <v>1302812</v>
      </c>
      <c r="X41" s="102">
        <v>19</v>
      </c>
      <c r="Y41" s="71">
        <f t="shared" si="8"/>
        <v>315.89473684210526</v>
      </c>
      <c r="Z41" s="102">
        <v>6002</v>
      </c>
      <c r="AA41" s="94">
        <f t="shared" si="9"/>
        <v>196</v>
      </c>
      <c r="AB41" s="94">
        <v>1176392</v>
      </c>
      <c r="AC41" s="7">
        <f>'Factor D Back Up'!D618</f>
        <v>38</v>
      </c>
      <c r="AD41" s="8">
        <f>'Factor D Back Up'!E618</f>
        <v>163.34210526315789</v>
      </c>
      <c r="AE41" s="7">
        <f>'Factor D Back Up'!F618</f>
        <v>6207</v>
      </c>
      <c r="AF41" s="5">
        <f>'Factor D Back Up'!G618</f>
        <v>196</v>
      </c>
      <c r="AG41" s="5">
        <f>'Factor D Back Up'!H618</f>
        <v>1216572</v>
      </c>
      <c r="AH41" s="7">
        <f>'Factor D Back Up'!D619</f>
        <v>50</v>
      </c>
      <c r="AI41" s="7">
        <f>'Factor D Back Up'!E619</f>
        <v>150.86000000000001</v>
      </c>
      <c r="AJ41" s="7">
        <f>'Factor D Back Up'!F619</f>
        <v>7543</v>
      </c>
      <c r="AK41" s="7">
        <f>'Factor D Back Up'!G619</f>
        <v>198.79146228291131</v>
      </c>
      <c r="AL41" s="7">
        <f>'Factor D Back Up'!H619</f>
        <v>1499484</v>
      </c>
      <c r="AM41" s="7">
        <f>'Factor D Back Up'!D620</f>
        <v>30</v>
      </c>
      <c r="AN41" s="7">
        <f>'Factor D Back Up'!E620</f>
        <v>287.5</v>
      </c>
      <c r="AO41" s="7">
        <f>'Factor D Back Up'!F620</f>
        <v>8625</v>
      </c>
      <c r="AP41" s="7">
        <f>'Factor D Back Up'!G620</f>
        <v>210.61600000000001</v>
      </c>
      <c r="AQ41" s="7">
        <f>'Factor D Back Up'!H620</f>
        <v>1816563</v>
      </c>
      <c r="AR41" s="7">
        <f>'Factor D Back Up'!D621</f>
        <v>31</v>
      </c>
      <c r="AS41" s="7">
        <f>'Factor D Back Up'!E621</f>
        <v>287.51612903225805</v>
      </c>
      <c r="AT41" s="7">
        <f>'Factor D Back Up'!F621</f>
        <v>8913</v>
      </c>
      <c r="AU41" s="7">
        <f>'Factor D Back Up'!G621</f>
        <v>218.82588129698195</v>
      </c>
      <c r="AV41" s="7">
        <f>'Factor D Back Up'!H621</f>
        <v>1950395.08</v>
      </c>
      <c r="AW41" s="7">
        <f>'Factor D Back Up'!D622</f>
        <v>30</v>
      </c>
      <c r="AX41" s="7">
        <f>'Factor D Back Up'!E622</f>
        <v>289.31399766811342</v>
      </c>
      <c r="AY41" s="7">
        <f>'Factor D Back Up'!F622</f>
        <v>8679.4199300434029</v>
      </c>
      <c r="AZ41" s="7">
        <f>'Factor D Back Up'!G622</f>
        <v>223.26</v>
      </c>
      <c r="BA41" s="7">
        <f>'Factor D Back Up'!H622</f>
        <v>1937767.2935814902</v>
      </c>
    </row>
    <row r="42" spans="1:73" s="49" customFormat="1" x14ac:dyDescent="0.25">
      <c r="A42" s="110" t="s">
        <v>74</v>
      </c>
      <c r="B42" s="45" t="s">
        <v>184</v>
      </c>
      <c r="C42" s="45" t="s">
        <v>135</v>
      </c>
      <c r="D42" s="46">
        <v>4</v>
      </c>
      <c r="E42" s="47">
        <f t="shared" ref="E42" si="22">F42/D42</f>
        <v>38.75</v>
      </c>
      <c r="F42" s="46">
        <v>155</v>
      </c>
      <c r="G42" s="48">
        <f t="shared" ref="G42" si="23">H42/F42</f>
        <v>134.89354838709679</v>
      </c>
      <c r="H42" s="274">
        <v>20908.5</v>
      </c>
      <c r="I42" s="46">
        <v>6</v>
      </c>
      <c r="J42" s="47">
        <f>K42/I42</f>
        <v>285.16666666666669</v>
      </c>
      <c r="K42" s="46">
        <v>1711</v>
      </c>
      <c r="L42" s="48">
        <f t="shared" ref="L42" si="24">M42/K42</f>
        <v>99.82856224430158</v>
      </c>
      <c r="M42" s="274">
        <v>170806.67</v>
      </c>
      <c r="N42" s="46">
        <v>7</v>
      </c>
      <c r="O42" s="47">
        <f t="shared" si="18"/>
        <v>286.14285714285717</v>
      </c>
      <c r="P42" s="46">
        <v>2003</v>
      </c>
      <c r="Q42" s="48">
        <f t="shared" si="19"/>
        <v>101.03817274088868</v>
      </c>
      <c r="R42" s="274">
        <v>202379.46000000002</v>
      </c>
      <c r="S42" s="26">
        <v>5</v>
      </c>
      <c r="T42" s="23">
        <f t="shared" si="20"/>
        <v>264.39999999999998</v>
      </c>
      <c r="U42" s="26">
        <v>1322</v>
      </c>
      <c r="V42" s="25">
        <f t="shared" si="21"/>
        <v>94.906172465960665</v>
      </c>
      <c r="W42" s="25">
        <v>125465.95999999999</v>
      </c>
      <c r="X42" s="102">
        <v>0</v>
      </c>
      <c r="Y42" s="71">
        <v>0</v>
      </c>
      <c r="Z42" s="102">
        <v>0</v>
      </c>
      <c r="AA42" s="94">
        <v>0</v>
      </c>
      <c r="AB42" s="94">
        <v>0</v>
      </c>
      <c r="AC42" s="15">
        <f>'Factor D Back Up'!D636</f>
        <v>3</v>
      </c>
      <c r="AD42" s="71">
        <f>'Factor D Back Up'!E636</f>
        <v>132</v>
      </c>
      <c r="AE42" s="15">
        <f>'Factor D Back Up'!F636</f>
        <v>396</v>
      </c>
      <c r="AF42" s="16">
        <f>'Factor D Back Up'!G636</f>
        <v>500</v>
      </c>
      <c r="AG42" s="16">
        <f>'Factor D Back Up'!H636</f>
        <v>198000</v>
      </c>
      <c r="AH42" s="15">
        <f>'Factor D Back Up'!D637</f>
        <v>10</v>
      </c>
      <c r="AI42" s="15">
        <f>'Factor D Back Up'!E637</f>
        <v>163.80000000000001</v>
      </c>
      <c r="AJ42" s="15">
        <f>'Factor D Back Up'!F637</f>
        <v>1638</v>
      </c>
      <c r="AK42" s="15">
        <f>'Factor D Back Up'!G637</f>
        <v>500</v>
      </c>
      <c r="AL42" s="15">
        <f>'Factor D Back Up'!H637</f>
        <v>819000</v>
      </c>
      <c r="AM42" s="15">
        <f>'Factor D Back Up'!D638</f>
        <v>8</v>
      </c>
      <c r="AN42" s="15">
        <f>'Factor D Back Up'!E638</f>
        <v>266.375</v>
      </c>
      <c r="AO42" s="15">
        <f>'Factor D Back Up'!F638</f>
        <v>2131</v>
      </c>
      <c r="AP42" s="15">
        <f>'Factor D Back Up'!G638</f>
        <v>500</v>
      </c>
      <c r="AQ42" s="15">
        <f>'Factor D Back Up'!H638</f>
        <v>1065500</v>
      </c>
      <c r="AR42" s="15">
        <f>'Factor D Back Up'!D639</f>
        <v>11</v>
      </c>
      <c r="AS42" s="15">
        <f>'Factor D Back Up'!E639</f>
        <v>272.72727272727275</v>
      </c>
      <c r="AT42" s="15">
        <f>'Factor D Back Up'!F639</f>
        <v>3000</v>
      </c>
      <c r="AU42" s="15">
        <f>'Factor D Back Up'!G639</f>
        <v>499.58466666666669</v>
      </c>
      <c r="AV42" s="15">
        <f>'Factor D Back Up'!H639</f>
        <v>1498754</v>
      </c>
      <c r="AW42" s="15">
        <f>'Factor D Back Up'!D640</f>
        <v>12</v>
      </c>
      <c r="AX42" s="15">
        <f>'Factor D Back Up'!E640</f>
        <v>231.79978655603659</v>
      </c>
      <c r="AY42" s="15">
        <f>'Factor D Back Up'!F640</f>
        <v>2781.5974386724392</v>
      </c>
      <c r="AZ42" s="15">
        <f>'Factor D Back Up'!G640</f>
        <v>505.12</v>
      </c>
      <c r="BA42" s="15">
        <f>'Factor D Back Up'!H640</f>
        <v>1405040.4982222226</v>
      </c>
      <c r="BB42" s="72"/>
      <c r="BC42" s="72"/>
      <c r="BD42" s="72"/>
      <c r="BE42" s="72"/>
      <c r="BF42" s="72"/>
      <c r="BG42" s="72"/>
      <c r="BH42" s="72"/>
      <c r="BI42" s="72"/>
      <c r="BJ42" s="72"/>
      <c r="BK42" s="72"/>
      <c r="BL42" s="72"/>
      <c r="BM42" s="72"/>
      <c r="BN42" s="72"/>
      <c r="BO42" s="72"/>
      <c r="BP42" s="72"/>
      <c r="BQ42" s="72"/>
      <c r="BR42" s="72"/>
      <c r="BS42" s="72"/>
      <c r="BT42" s="72"/>
      <c r="BU42" s="72"/>
    </row>
    <row r="43" spans="1:73" x14ac:dyDescent="0.25">
      <c r="A43" s="110" t="s">
        <v>98</v>
      </c>
      <c r="B43" s="2" t="s">
        <v>136</v>
      </c>
      <c r="C43" s="2" t="s">
        <v>137</v>
      </c>
      <c r="D43" s="21">
        <v>0</v>
      </c>
      <c r="E43" s="22">
        <v>0</v>
      </c>
      <c r="F43" s="21">
        <v>0</v>
      </c>
      <c r="G43" s="25">
        <v>0</v>
      </c>
      <c r="H43" s="24">
        <v>0</v>
      </c>
      <c r="I43" s="21">
        <v>2</v>
      </c>
      <c r="J43" s="22">
        <f t="shared" si="6"/>
        <v>1</v>
      </c>
      <c r="K43" s="21">
        <v>2</v>
      </c>
      <c r="L43" s="24">
        <f t="shared" si="2"/>
        <v>5000</v>
      </c>
      <c r="M43" s="274">
        <v>10000</v>
      </c>
      <c r="N43" s="21">
        <v>0</v>
      </c>
      <c r="O43" s="22">
        <v>0</v>
      </c>
      <c r="P43" s="21">
        <v>0</v>
      </c>
      <c r="Q43" s="24">
        <v>0</v>
      </c>
      <c r="R43" s="24">
        <v>0</v>
      </c>
      <c r="S43" s="21">
        <v>1</v>
      </c>
      <c r="T43" s="22">
        <f t="shared" ref="T43:T78" si="25">U43/S43</f>
        <v>1</v>
      </c>
      <c r="U43" s="21">
        <v>1</v>
      </c>
      <c r="V43" s="24">
        <f t="shared" ref="V43:V78" si="26">W43/U43</f>
        <v>5000</v>
      </c>
      <c r="W43" s="24">
        <v>5000</v>
      </c>
      <c r="X43" s="102">
        <v>2</v>
      </c>
      <c r="Y43" s="71">
        <f t="shared" si="8"/>
        <v>1</v>
      </c>
      <c r="Z43" s="102">
        <v>2</v>
      </c>
      <c r="AA43" s="94">
        <f t="shared" si="9"/>
        <v>5000</v>
      </c>
      <c r="AB43" s="94">
        <v>10000</v>
      </c>
      <c r="AC43" s="7">
        <f>'Factor D Back Up'!D654</f>
        <v>0</v>
      </c>
      <c r="AD43" s="8">
        <f>'Factor D Back Up'!E654</f>
        <v>0</v>
      </c>
      <c r="AE43" s="7">
        <f>'Factor D Back Up'!F654</f>
        <v>0</v>
      </c>
      <c r="AF43" s="5" t="e">
        <f>'Factor D Back Up'!G654</f>
        <v>#DIV/0!</v>
      </c>
      <c r="AG43" s="5">
        <f>'Factor D Back Up'!H654</f>
        <v>0</v>
      </c>
      <c r="AH43" s="7">
        <f>'Factor D Back Up'!D655</f>
        <v>1</v>
      </c>
      <c r="AI43" s="7">
        <f>'Factor D Back Up'!E655</f>
        <v>1</v>
      </c>
      <c r="AJ43" s="7">
        <f>'Factor D Back Up'!F655</f>
        <v>1</v>
      </c>
      <c r="AK43" s="7">
        <f>'Factor D Back Up'!G655</f>
        <v>5000</v>
      </c>
      <c r="AL43" s="7">
        <f>'Factor D Back Up'!H655</f>
        <v>5000</v>
      </c>
      <c r="AM43" s="7">
        <f>'Factor D Back Up'!D656</f>
        <v>0</v>
      </c>
      <c r="AN43" s="7">
        <f>'Factor D Back Up'!E656</f>
        <v>0</v>
      </c>
      <c r="AO43" s="7">
        <f>'Factor D Back Up'!F656</f>
        <v>0</v>
      </c>
      <c r="AP43" s="7" t="e">
        <f>'Factor D Back Up'!G656</f>
        <v>#DIV/0!</v>
      </c>
      <c r="AQ43" s="7">
        <f>'Factor D Back Up'!H656</f>
        <v>0</v>
      </c>
      <c r="AR43" s="7">
        <f>'Factor D Back Up'!D657</f>
        <v>1</v>
      </c>
      <c r="AS43" s="7">
        <f>'Factor D Back Up'!E657</f>
        <v>1</v>
      </c>
      <c r="AT43" s="7">
        <f>'Factor D Back Up'!F657</f>
        <v>1</v>
      </c>
      <c r="AU43" s="7">
        <f>'Factor D Back Up'!G657</f>
        <v>5000</v>
      </c>
      <c r="AV43" s="7">
        <f>'Factor D Back Up'!H657</f>
        <v>5000</v>
      </c>
      <c r="AW43" s="7">
        <f>'Factor D Back Up'!D658</f>
        <v>1</v>
      </c>
      <c r="AX43" s="7">
        <f>'Factor D Back Up'!E658</f>
        <v>1</v>
      </c>
      <c r="AY43" s="7">
        <f>'Factor D Back Up'!F658</f>
        <v>1</v>
      </c>
      <c r="AZ43" s="7">
        <f>'Factor D Back Up'!G658</f>
        <v>5000</v>
      </c>
      <c r="BA43" s="7">
        <f>'Factor D Back Up'!H658</f>
        <v>5000</v>
      </c>
    </row>
    <row r="44" spans="1:73" x14ac:dyDescent="0.25">
      <c r="A44" s="110" t="s">
        <v>99</v>
      </c>
      <c r="B44" s="2" t="s">
        <v>138</v>
      </c>
      <c r="C44" s="2" t="s">
        <v>152</v>
      </c>
      <c r="D44" s="21">
        <v>293</v>
      </c>
      <c r="E44" s="22">
        <f t="shared" si="0"/>
        <v>3169.0204778156995</v>
      </c>
      <c r="F44" s="21">
        <v>928523</v>
      </c>
      <c r="G44" s="25">
        <f t="shared" si="1"/>
        <v>3.9497829348330624</v>
      </c>
      <c r="H44" s="274">
        <v>3667464.3</v>
      </c>
      <c r="I44" s="21">
        <v>294</v>
      </c>
      <c r="J44" s="22">
        <f t="shared" si="6"/>
        <v>3580.0204081632655</v>
      </c>
      <c r="K44" s="21">
        <v>1052526</v>
      </c>
      <c r="L44" s="24">
        <f t="shared" si="2"/>
        <v>3.9475268544435007</v>
      </c>
      <c r="M44" s="274">
        <v>4154874.65</v>
      </c>
      <c r="N44" s="21">
        <v>420</v>
      </c>
      <c r="O44" s="22">
        <f t="shared" si="18"/>
        <v>3091.0880952380953</v>
      </c>
      <c r="P44" s="21">
        <v>1298257</v>
      </c>
      <c r="Q44" s="24">
        <f t="shared" si="19"/>
        <v>3.9460827478688709</v>
      </c>
      <c r="R44" s="274">
        <v>5123029.549999997</v>
      </c>
      <c r="S44" s="21">
        <v>525</v>
      </c>
      <c r="T44" s="22">
        <f t="shared" si="25"/>
        <v>3132.9942857142855</v>
      </c>
      <c r="U44" s="21">
        <v>1644822</v>
      </c>
      <c r="V44" s="24">
        <f t="shared" si="26"/>
        <v>3.9481770550247961</v>
      </c>
      <c r="W44" s="24">
        <v>6494048.4799999949</v>
      </c>
      <c r="X44" s="102">
        <v>558</v>
      </c>
      <c r="Y44" s="71">
        <f t="shared" si="8"/>
        <v>3514.1917562724016</v>
      </c>
      <c r="Z44" s="102">
        <v>1960919</v>
      </c>
      <c r="AA44" s="94">
        <f t="shared" si="9"/>
        <v>3.9494048963776676</v>
      </c>
      <c r="AB44" s="94">
        <v>7744463.0999999996</v>
      </c>
      <c r="AC44" s="7">
        <f>'Factor D Back Up'!D672</f>
        <v>1373</v>
      </c>
      <c r="AD44" s="8">
        <f>'Factor D Back Up'!E672</f>
        <v>1955.2760378732703</v>
      </c>
      <c r="AE44" s="7">
        <f>'Factor D Back Up'!F672</f>
        <v>2684594</v>
      </c>
      <c r="AF44" s="5">
        <f>'Factor D Back Up'!G672</f>
        <v>3.8190673748060227</v>
      </c>
      <c r="AG44" s="5">
        <f>'Factor D Back Up'!H672</f>
        <v>10252645.359999999</v>
      </c>
      <c r="AH44" s="7">
        <f>'Factor D Back Up'!D673</f>
        <v>1352</v>
      </c>
      <c r="AI44" s="7">
        <f>'Factor D Back Up'!E673</f>
        <v>2220.7204142011833</v>
      </c>
      <c r="AJ44" s="7">
        <f>'Factor D Back Up'!F673</f>
        <v>3002414</v>
      </c>
      <c r="AK44" s="7">
        <f>'Factor D Back Up'!G673</f>
        <v>3.7995521370470557</v>
      </c>
      <c r="AL44" s="7">
        <f>'Factor D Back Up'!H673</f>
        <v>11407828.529999999</v>
      </c>
      <c r="AM44" s="7">
        <f>'Factor D Back Up'!D674</f>
        <v>753</v>
      </c>
      <c r="AN44" s="7">
        <f>'Factor D Back Up'!E674</f>
        <v>3739.7290836653387</v>
      </c>
      <c r="AO44" s="7">
        <f>'Factor D Back Up'!F674</f>
        <v>2816016</v>
      </c>
      <c r="AP44" s="7">
        <f>'Factor D Back Up'!G674</f>
        <v>3.8690814114692529</v>
      </c>
      <c r="AQ44" s="7">
        <f>'Factor D Back Up'!H674</f>
        <v>10895395.16</v>
      </c>
      <c r="AR44" s="7">
        <f>'Factor D Back Up'!D675</f>
        <v>695</v>
      </c>
      <c r="AS44" s="7">
        <f>'Factor D Back Up'!E675</f>
        <v>3694.9899280575542</v>
      </c>
      <c r="AT44" s="7">
        <f>'Factor D Back Up'!F675</f>
        <v>2568018</v>
      </c>
      <c r="AU44" s="7">
        <f>'Factor D Back Up'!G675</f>
        <v>5.2871084392710648</v>
      </c>
      <c r="AV44" s="7">
        <f>'Factor D Back Up'!H675</f>
        <v>13577389.640000001</v>
      </c>
      <c r="AW44" s="7">
        <f>'Factor D Back Up'!D676</f>
        <v>600</v>
      </c>
      <c r="AX44" s="7">
        <f>'Factor D Back Up'!E676</f>
        <v>4368</v>
      </c>
      <c r="AY44" s="7">
        <f>'Factor D Back Up'!F676</f>
        <v>2620800</v>
      </c>
      <c r="AZ44" s="7">
        <f>'Factor D Back Up'!G676</f>
        <v>5.49</v>
      </c>
      <c r="BA44" s="7">
        <f>'Factor D Back Up'!H676</f>
        <v>14388192</v>
      </c>
    </row>
    <row r="45" spans="1:73" x14ac:dyDescent="0.25">
      <c r="A45" s="110" t="s">
        <v>100</v>
      </c>
      <c r="B45" s="2" t="s">
        <v>138</v>
      </c>
      <c r="C45" s="2" t="s">
        <v>152</v>
      </c>
      <c r="D45" s="21">
        <v>20</v>
      </c>
      <c r="E45" s="22">
        <f t="shared" si="0"/>
        <v>1578.05</v>
      </c>
      <c r="F45" s="21">
        <v>31561</v>
      </c>
      <c r="G45" s="25">
        <f t="shared" si="1"/>
        <v>7.8994201704635474</v>
      </c>
      <c r="H45" s="274">
        <v>249313.6</v>
      </c>
      <c r="I45" s="21">
        <v>37</v>
      </c>
      <c r="J45" s="22">
        <f t="shared" si="6"/>
        <v>3167.8378378378379</v>
      </c>
      <c r="K45" s="21">
        <v>117210</v>
      </c>
      <c r="L45" s="24">
        <f t="shared" si="2"/>
        <v>7.7862830816483237</v>
      </c>
      <c r="M45" s="274">
        <v>912630.24</v>
      </c>
      <c r="N45" s="21">
        <v>54</v>
      </c>
      <c r="O45" s="22">
        <f t="shared" si="18"/>
        <v>3198.2407407407409</v>
      </c>
      <c r="P45" s="21">
        <v>172705</v>
      </c>
      <c r="Q45" s="24">
        <f t="shared" si="19"/>
        <v>7.8587217509626255</v>
      </c>
      <c r="R45" s="274">
        <v>1357240.5400000003</v>
      </c>
      <c r="S45" s="21">
        <v>68</v>
      </c>
      <c r="T45" s="22">
        <f t="shared" si="25"/>
        <v>2909.5</v>
      </c>
      <c r="U45" s="21">
        <v>197846</v>
      </c>
      <c r="V45" s="24">
        <f t="shared" si="26"/>
        <v>7.7398303225741216</v>
      </c>
      <c r="W45" s="24">
        <v>1531294.4699999997</v>
      </c>
      <c r="X45" s="102">
        <v>75</v>
      </c>
      <c r="Y45" s="71">
        <f t="shared" si="8"/>
        <v>3377.8266666666668</v>
      </c>
      <c r="Z45" s="102">
        <v>253337</v>
      </c>
      <c r="AA45" s="94">
        <f t="shared" si="9"/>
        <v>7.6864311963905783</v>
      </c>
      <c r="AB45" s="94">
        <v>1947257.42</v>
      </c>
      <c r="AC45" s="7">
        <f>'Factor D Back Up'!D690</f>
        <v>165</v>
      </c>
      <c r="AD45" s="8">
        <f>'Factor D Back Up'!E690</f>
        <v>1943.6</v>
      </c>
      <c r="AE45" s="7">
        <f>'Factor D Back Up'!F690</f>
        <v>320694</v>
      </c>
      <c r="AF45" s="5">
        <f>'Factor D Back Up'!G690</f>
        <v>6.7802600921750953</v>
      </c>
      <c r="AG45" s="5">
        <f>'Factor D Back Up'!H690</f>
        <v>2174388.73</v>
      </c>
      <c r="AH45" s="7">
        <f>'Factor D Back Up'!D691</f>
        <v>186</v>
      </c>
      <c r="AI45" s="7">
        <f>'Factor D Back Up'!E691</f>
        <v>2322.5645161290322</v>
      </c>
      <c r="AJ45" s="7">
        <f>'Factor D Back Up'!F691</f>
        <v>431997</v>
      </c>
      <c r="AK45" s="7">
        <f>'Factor D Back Up'!G691</f>
        <v>6.7163125438371098</v>
      </c>
      <c r="AL45" s="7">
        <f>'Factor D Back Up'!H691</f>
        <v>2901426.87</v>
      </c>
      <c r="AM45" s="7">
        <f>'Factor D Back Up'!D692</f>
        <v>129</v>
      </c>
      <c r="AN45" s="7">
        <f>'Factor D Back Up'!E692</f>
        <v>3824.6666666666665</v>
      </c>
      <c r="AO45" s="7">
        <f>'Factor D Back Up'!F692</f>
        <v>493382</v>
      </c>
      <c r="AP45" s="7">
        <f>'Factor D Back Up'!G692</f>
        <v>6.8323831432845132</v>
      </c>
      <c r="AQ45" s="7">
        <f>'Factor D Back Up'!H692</f>
        <v>3370974.86</v>
      </c>
      <c r="AR45" s="7">
        <f>'Factor D Back Up'!D693</f>
        <v>144</v>
      </c>
      <c r="AS45" s="7">
        <f>'Factor D Back Up'!E693</f>
        <v>3781</v>
      </c>
      <c r="AT45" s="7">
        <f>'Factor D Back Up'!F693</f>
        <v>544464</v>
      </c>
      <c r="AU45" s="7">
        <f>'Factor D Back Up'!G693</f>
        <v>9.7816039444297509</v>
      </c>
      <c r="AV45" s="7">
        <f>'Factor D Back Up'!H693</f>
        <v>5325731.21</v>
      </c>
      <c r="AW45" s="7">
        <f>'Factor D Back Up'!D694</f>
        <v>147</v>
      </c>
      <c r="AX45" s="7">
        <f>'Factor D Back Up'!E694</f>
        <v>3573.8848630647162</v>
      </c>
      <c r="AY45" s="7">
        <f>'Factor D Back Up'!F694</f>
        <v>525361.07487051329</v>
      </c>
      <c r="AZ45" s="7">
        <f>'Factor D Back Up'!G694</f>
        <v>10.39</v>
      </c>
      <c r="BA45" s="7">
        <f>'Factor D Back Up'!H694</f>
        <v>5458501.5679046335</v>
      </c>
    </row>
    <row r="46" spans="1:73" x14ac:dyDescent="0.25">
      <c r="A46" s="110" t="s">
        <v>101</v>
      </c>
      <c r="B46" s="2"/>
      <c r="C46" s="2" t="s">
        <v>152</v>
      </c>
      <c r="D46" s="21">
        <v>398</v>
      </c>
      <c r="E46" s="22">
        <f t="shared" si="0"/>
        <v>2507.3718592964824</v>
      </c>
      <c r="F46" s="21">
        <v>997934</v>
      </c>
      <c r="G46" s="25">
        <f t="shared" si="1"/>
        <v>3.9310936695212306</v>
      </c>
      <c r="H46" s="274">
        <v>3922972.03</v>
      </c>
      <c r="I46" s="21">
        <v>423</v>
      </c>
      <c r="J46" s="22">
        <f t="shared" si="6"/>
        <v>3240.078014184397</v>
      </c>
      <c r="K46" s="21">
        <v>1370553</v>
      </c>
      <c r="L46" s="24">
        <f t="shared" si="2"/>
        <v>3.9175328206935451</v>
      </c>
      <c r="M46" s="274">
        <v>5369186.3600000003</v>
      </c>
      <c r="N46" s="21">
        <v>436</v>
      </c>
      <c r="O46" s="22">
        <f t="shared" si="18"/>
        <v>3145.7087155963304</v>
      </c>
      <c r="P46" s="21">
        <v>1371529</v>
      </c>
      <c r="Q46" s="24">
        <f t="shared" si="19"/>
        <v>3.9484665143792075</v>
      </c>
      <c r="R46" s="274">
        <v>5415436.3300000001</v>
      </c>
      <c r="S46" s="21">
        <v>468</v>
      </c>
      <c r="T46" s="22">
        <f t="shared" si="25"/>
        <v>2912.4555555555553</v>
      </c>
      <c r="U46" s="21">
        <v>1363029.2</v>
      </c>
      <c r="V46" s="24">
        <f t="shared" si="26"/>
        <v>3.9487142388438925</v>
      </c>
      <c r="W46" s="24">
        <v>5382212.8099999996</v>
      </c>
      <c r="X46" s="102">
        <v>518</v>
      </c>
      <c r="Y46" s="71">
        <f t="shared" si="8"/>
        <v>3054.6119884169884</v>
      </c>
      <c r="Z46" s="102">
        <v>1582289.01</v>
      </c>
      <c r="AA46" s="94">
        <f t="shared" si="9"/>
        <v>3.9467115871581515</v>
      </c>
      <c r="AB46" s="94">
        <v>6244838.3700000001</v>
      </c>
      <c r="AC46" s="7">
        <f>'Factor D Back Up'!D708</f>
        <v>356</v>
      </c>
      <c r="AD46" s="8">
        <f>'Factor D Back Up'!E708</f>
        <v>632.68258426966293</v>
      </c>
      <c r="AE46" s="7">
        <f>'Factor D Back Up'!F708</f>
        <v>225235</v>
      </c>
      <c r="AF46" s="5">
        <f>'Factor D Back Up'!G708</f>
        <v>3.9056213732324019</v>
      </c>
      <c r="AG46" s="5">
        <f>'Factor D Back Up'!H708</f>
        <v>879682.63</v>
      </c>
      <c r="AH46" s="7">
        <f>'Factor D Back Up'!D709</f>
        <v>465</v>
      </c>
      <c r="AI46" s="7">
        <f>'Factor D Back Up'!E709</f>
        <v>2148.574193548387</v>
      </c>
      <c r="AJ46" s="7">
        <f>'Factor D Back Up'!F709</f>
        <v>999087</v>
      </c>
      <c r="AK46" s="7">
        <f>'Factor D Back Up'!G709</f>
        <v>3.7993966291223886</v>
      </c>
      <c r="AL46" s="7">
        <f>'Factor D Back Up'!H709</f>
        <v>3795927.78</v>
      </c>
      <c r="AM46" s="7">
        <f>'Factor D Back Up'!D710</f>
        <v>486</v>
      </c>
      <c r="AN46" s="7">
        <f>'Factor D Back Up'!E710</f>
        <v>2680.7222222222222</v>
      </c>
      <c r="AO46" s="7">
        <f>'Factor D Back Up'!F710</f>
        <v>1302831</v>
      </c>
      <c r="AP46" s="7">
        <f>'Factor D Back Up'!G710</f>
        <v>3.8485532736018713</v>
      </c>
      <c r="AQ46" s="7">
        <f>'Factor D Back Up'!H710</f>
        <v>5014014.51</v>
      </c>
      <c r="AR46" s="7">
        <f>'Factor D Back Up'!D711</f>
        <v>482</v>
      </c>
      <c r="AS46" s="7">
        <f>'Factor D Back Up'!E711</f>
        <v>2643.1244813278008</v>
      </c>
      <c r="AT46" s="7">
        <f>'Factor D Back Up'!F711</f>
        <v>1273986</v>
      </c>
      <c r="AU46" s="7">
        <f>'Factor D Back Up'!G711</f>
        <v>4.5801882830737544</v>
      </c>
      <c r="AV46" s="7">
        <f>'Factor D Back Up'!H711</f>
        <v>5835095.75</v>
      </c>
      <c r="AW46" s="7">
        <f>'Factor D Back Up'!D712</f>
        <v>477</v>
      </c>
      <c r="AX46" s="7">
        <f>'Factor D Back Up'!E712</f>
        <v>2101.9572199909189</v>
      </c>
      <c r="AY46" s="7">
        <f>'Factor D Back Up'!F712</f>
        <v>1002633.5939356684</v>
      </c>
      <c r="AZ46" s="7">
        <f>'Factor D Back Up'!G712</f>
        <v>4.7300000000000004</v>
      </c>
      <c r="BA46" s="7">
        <f>'Factor D Back Up'!H712</f>
        <v>4742456.899315712</v>
      </c>
    </row>
    <row r="47" spans="1:73" x14ac:dyDescent="0.25">
      <c r="A47" s="110" t="s">
        <v>102</v>
      </c>
      <c r="B47" s="2" t="s">
        <v>129</v>
      </c>
      <c r="C47" s="2" t="s">
        <v>152</v>
      </c>
      <c r="D47" s="21">
        <v>80</v>
      </c>
      <c r="E47" s="22">
        <f t="shared" si="0"/>
        <v>1068.5999999999999</v>
      </c>
      <c r="F47" s="21">
        <v>85488</v>
      </c>
      <c r="G47" s="25">
        <f t="shared" si="1"/>
        <v>10.126406981096762</v>
      </c>
      <c r="H47" s="274">
        <v>865686.28</v>
      </c>
      <c r="I47" s="21">
        <v>90</v>
      </c>
      <c r="J47" s="22">
        <f t="shared" si="6"/>
        <v>1654.8777777777777</v>
      </c>
      <c r="K47" s="21">
        <v>148939</v>
      </c>
      <c r="L47" s="24">
        <f t="shared" si="2"/>
        <v>10.367186499170803</v>
      </c>
      <c r="M47" s="274">
        <v>1544078.3900000001</v>
      </c>
      <c r="N47" s="21">
        <v>79</v>
      </c>
      <c r="O47" s="22">
        <f t="shared" si="18"/>
        <v>1554.8354430379748</v>
      </c>
      <c r="P47" s="21">
        <v>122832</v>
      </c>
      <c r="Q47" s="24">
        <f t="shared" si="19"/>
        <v>10.634712941253092</v>
      </c>
      <c r="R47" s="274">
        <v>1306283.0599999998</v>
      </c>
      <c r="S47" s="21">
        <v>56</v>
      </c>
      <c r="T47" s="22">
        <f t="shared" si="25"/>
        <v>1410.0714285714287</v>
      </c>
      <c r="U47" s="21">
        <v>78964</v>
      </c>
      <c r="V47" s="24">
        <f t="shared" si="26"/>
        <v>10.598131806899346</v>
      </c>
      <c r="W47" s="24">
        <v>836870.88</v>
      </c>
      <c r="X47" s="102">
        <v>15</v>
      </c>
      <c r="Y47" s="71">
        <f t="shared" si="8"/>
        <v>275.13333333333333</v>
      </c>
      <c r="Z47" s="102">
        <v>4127</v>
      </c>
      <c r="AA47" s="94">
        <f t="shared" si="9"/>
        <v>10.701228495275018</v>
      </c>
      <c r="AB47" s="94">
        <v>44163.97</v>
      </c>
      <c r="AC47" s="7">
        <f>'Factor D Back Up'!D726</f>
        <v>9</v>
      </c>
      <c r="AD47" s="8">
        <f>'Factor D Back Up'!E726</f>
        <v>209.66666666666666</v>
      </c>
      <c r="AE47" s="7">
        <f>'Factor D Back Up'!F726</f>
        <v>1887</v>
      </c>
      <c r="AF47" s="5">
        <f>'Factor D Back Up'!G726</f>
        <v>10.670339162692104</v>
      </c>
      <c r="AG47" s="5">
        <f>'Factor D Back Up'!H726</f>
        <v>20134.93</v>
      </c>
      <c r="AH47" s="7">
        <f>'Factor D Back Up'!D727</f>
        <v>9</v>
      </c>
      <c r="AI47" s="7">
        <f>'Factor D Back Up'!E727</f>
        <v>148.44444444444446</v>
      </c>
      <c r="AJ47" s="7">
        <f>'Factor D Back Up'!F727</f>
        <v>1336</v>
      </c>
      <c r="AK47" s="7">
        <f>'Factor D Back Up'!G727</f>
        <v>10.393502994011977</v>
      </c>
      <c r="AL47" s="7">
        <f>'Factor D Back Up'!H727</f>
        <v>13885.720000000001</v>
      </c>
      <c r="AM47" s="7">
        <f>'Factor D Back Up'!D728</f>
        <v>6</v>
      </c>
      <c r="AN47" s="7">
        <f>'Factor D Back Up'!E728</f>
        <v>224.66666666666666</v>
      </c>
      <c r="AO47" s="7">
        <f>'Factor D Back Up'!F728</f>
        <v>1348</v>
      </c>
      <c r="AP47" s="7">
        <f>'Factor D Back Up'!G728</f>
        <v>9.7942729970326408</v>
      </c>
      <c r="AQ47" s="7">
        <f>'Factor D Back Up'!H728</f>
        <v>13202.68</v>
      </c>
      <c r="AR47" s="7">
        <f>'Factor D Back Up'!D729</f>
        <v>7</v>
      </c>
      <c r="AS47" s="7">
        <f>'Factor D Back Up'!E729</f>
        <v>136.71428571428572</v>
      </c>
      <c r="AT47" s="7">
        <f>'Factor D Back Up'!F729</f>
        <v>957</v>
      </c>
      <c r="AU47" s="7">
        <f>'Factor D Back Up'!G729</f>
        <v>11.432142110762801</v>
      </c>
      <c r="AV47" s="7">
        <f>'Factor D Back Up'!H729</f>
        <v>10940.56</v>
      </c>
      <c r="AW47" s="7">
        <f>'Factor D Back Up'!D730</f>
        <v>7</v>
      </c>
      <c r="AX47" s="7">
        <f>'Factor D Back Up'!E730</f>
        <v>158.2116402116402</v>
      </c>
      <c r="AY47" s="7">
        <f>'Factor D Back Up'!F730</f>
        <v>1107.4814814814813</v>
      </c>
      <c r="AZ47" s="7">
        <f>'Factor D Back Up'!G730</f>
        <v>11.98</v>
      </c>
      <c r="BA47" s="7">
        <f>'Factor D Back Up'!H730</f>
        <v>13267.628148148146</v>
      </c>
    </row>
    <row r="48" spans="1:73" x14ac:dyDescent="0.25">
      <c r="A48" s="110" t="s">
        <v>103</v>
      </c>
      <c r="B48" s="2" t="s">
        <v>129</v>
      </c>
      <c r="C48" s="2" t="s">
        <v>152</v>
      </c>
      <c r="D48" s="21">
        <v>17</v>
      </c>
      <c r="E48" s="22">
        <f t="shared" si="0"/>
        <v>1578.1176470588234</v>
      </c>
      <c r="F48" s="21">
        <v>26828</v>
      </c>
      <c r="G48" s="25">
        <f t="shared" si="1"/>
        <v>6.3265647830624712</v>
      </c>
      <c r="H48" s="274">
        <v>169729.08</v>
      </c>
      <c r="I48" s="21">
        <v>10</v>
      </c>
      <c r="J48" s="22">
        <f t="shared" si="6"/>
        <v>2064.1</v>
      </c>
      <c r="K48" s="21">
        <v>20641</v>
      </c>
      <c r="L48" s="24">
        <f t="shared" si="2"/>
        <v>6.3155026403759509</v>
      </c>
      <c r="M48" s="274">
        <v>130358.29000000001</v>
      </c>
      <c r="N48" s="21">
        <v>5</v>
      </c>
      <c r="O48" s="22">
        <f t="shared" si="18"/>
        <v>2730</v>
      </c>
      <c r="P48" s="21">
        <v>13650</v>
      </c>
      <c r="Q48" s="24">
        <f t="shared" si="19"/>
        <v>6.3285816849816845</v>
      </c>
      <c r="R48" s="274">
        <v>86385.14</v>
      </c>
      <c r="S48" s="21">
        <v>7</v>
      </c>
      <c r="T48" s="22">
        <f t="shared" si="25"/>
        <v>1218.2857142857142</v>
      </c>
      <c r="U48" s="21">
        <v>8528</v>
      </c>
      <c r="V48" s="24">
        <f t="shared" si="26"/>
        <v>6.2811421200750459</v>
      </c>
      <c r="W48" s="24">
        <v>53565.579999999994</v>
      </c>
      <c r="X48" s="102">
        <v>5</v>
      </c>
      <c r="Y48" s="71">
        <f t="shared" si="8"/>
        <v>416</v>
      </c>
      <c r="Z48" s="102">
        <v>2080</v>
      </c>
      <c r="AA48" s="94">
        <f t="shared" si="9"/>
        <v>6.3234615384615385</v>
      </c>
      <c r="AB48" s="94">
        <v>13152.8</v>
      </c>
      <c r="AC48" s="7">
        <f>'Factor D Back Up'!D744</f>
        <v>1</v>
      </c>
      <c r="AD48" s="8">
        <f>'Factor D Back Up'!E744</f>
        <v>112</v>
      </c>
      <c r="AE48" s="7">
        <f>'Factor D Back Up'!F744</f>
        <v>112</v>
      </c>
      <c r="AF48" s="5">
        <f>'Factor D Back Up'!G744</f>
        <v>6.33</v>
      </c>
      <c r="AG48" s="5">
        <f>'Factor D Back Up'!H744</f>
        <v>708.96</v>
      </c>
      <c r="AH48" s="7">
        <f>'Factor D Back Up'!D745</f>
        <v>4</v>
      </c>
      <c r="AI48" s="7">
        <f>'Factor D Back Up'!E745</f>
        <v>243</v>
      </c>
      <c r="AJ48" s="7">
        <f>'Factor D Back Up'!F745</f>
        <v>972</v>
      </c>
      <c r="AK48" s="7">
        <f>'Factor D Back Up'!G745</f>
        <v>6.33</v>
      </c>
      <c r="AL48" s="7">
        <f>'Factor D Back Up'!H745</f>
        <v>6152.76</v>
      </c>
      <c r="AM48" s="7">
        <f>'Factor D Back Up'!D746</f>
        <v>4</v>
      </c>
      <c r="AN48" s="7">
        <f>'Factor D Back Up'!E746</f>
        <v>225</v>
      </c>
      <c r="AO48" s="7">
        <f>'Factor D Back Up'!F746</f>
        <v>900</v>
      </c>
      <c r="AP48" s="7">
        <f>'Factor D Back Up'!G746</f>
        <v>6.33</v>
      </c>
      <c r="AQ48" s="7">
        <f>'Factor D Back Up'!H746</f>
        <v>5697</v>
      </c>
      <c r="AR48" s="7">
        <f>'Factor D Back Up'!D747</f>
        <v>3</v>
      </c>
      <c r="AS48" s="7">
        <f>'Factor D Back Up'!E747</f>
        <v>124.33333333333333</v>
      </c>
      <c r="AT48" s="7">
        <f>'Factor D Back Up'!F747</f>
        <v>373</v>
      </c>
      <c r="AU48" s="7">
        <f>'Factor D Back Up'!G747</f>
        <v>6.381876675603217</v>
      </c>
      <c r="AV48" s="7">
        <f>'Factor D Back Up'!H747</f>
        <v>2380.44</v>
      </c>
      <c r="AW48" s="7">
        <f>'Factor D Back Up'!D748</f>
        <v>4</v>
      </c>
      <c r="AX48" s="7">
        <f>'Factor D Back Up'!E748</f>
        <v>80</v>
      </c>
      <c r="AY48" s="7">
        <f>'Factor D Back Up'!F748</f>
        <v>320</v>
      </c>
      <c r="AZ48" s="7">
        <f>'Factor D Back Up'!G748</f>
        <v>7.21</v>
      </c>
      <c r="BA48" s="7">
        <f>'Factor D Back Up'!H748</f>
        <v>2307.1999999999998</v>
      </c>
    </row>
    <row r="49" spans="1:53" x14ac:dyDescent="0.25">
      <c r="A49" s="110" t="s">
        <v>104</v>
      </c>
      <c r="B49" s="2" t="s">
        <v>184</v>
      </c>
      <c r="C49" s="2" t="s">
        <v>152</v>
      </c>
      <c r="D49" s="21">
        <v>36</v>
      </c>
      <c r="E49" s="22">
        <f t="shared" si="0"/>
        <v>1321.1944444444443</v>
      </c>
      <c r="F49" s="21">
        <v>47563</v>
      </c>
      <c r="G49" s="25">
        <f t="shared" si="1"/>
        <v>10.719000693816623</v>
      </c>
      <c r="H49" s="274">
        <v>509827.83</v>
      </c>
      <c r="I49" s="21">
        <v>75</v>
      </c>
      <c r="J49" s="22">
        <f t="shared" si="6"/>
        <v>2013.72</v>
      </c>
      <c r="K49" s="21">
        <v>151029</v>
      </c>
      <c r="L49" s="24">
        <f t="shared" si="2"/>
        <v>10.678877632772513</v>
      </c>
      <c r="M49" s="274">
        <v>1612820.21</v>
      </c>
      <c r="N49" s="21">
        <v>73</v>
      </c>
      <c r="O49" s="22">
        <f t="shared" si="18"/>
        <v>2421.8904109589039</v>
      </c>
      <c r="P49" s="21">
        <v>176798</v>
      </c>
      <c r="Q49" s="24">
        <f t="shared" si="19"/>
        <v>10.623871254199708</v>
      </c>
      <c r="R49" s="274">
        <v>1878279.19</v>
      </c>
      <c r="S49" s="21">
        <v>63</v>
      </c>
      <c r="T49" s="22">
        <f t="shared" si="25"/>
        <v>1168.936507936508</v>
      </c>
      <c r="U49" s="21">
        <v>73643</v>
      </c>
      <c r="V49" s="24">
        <f t="shared" si="26"/>
        <v>10.696424914791629</v>
      </c>
      <c r="W49" s="24">
        <v>787716.82</v>
      </c>
      <c r="X49" s="102">
        <v>39</v>
      </c>
      <c r="Y49" s="71">
        <f t="shared" si="8"/>
        <v>352.41025641025641</v>
      </c>
      <c r="Z49" s="102">
        <v>13744</v>
      </c>
      <c r="AA49" s="94">
        <f t="shared" si="9"/>
        <v>10.499531431897555</v>
      </c>
      <c r="AB49" s="94">
        <v>144305.56</v>
      </c>
      <c r="AC49" s="7">
        <f>'Factor D Back Up'!D762</f>
        <v>12</v>
      </c>
      <c r="AD49" s="8">
        <f>'Factor D Back Up'!E762</f>
        <v>384.33333333333331</v>
      </c>
      <c r="AE49" s="7">
        <f>'Factor D Back Up'!F762</f>
        <v>4612</v>
      </c>
      <c r="AF49" s="5">
        <f>'Factor D Back Up'!G762</f>
        <v>9.6992541196877706</v>
      </c>
      <c r="AG49" s="5">
        <f>'Factor D Back Up'!H762</f>
        <v>44732.959999999999</v>
      </c>
      <c r="AH49" s="7">
        <f>'Factor D Back Up'!D763</f>
        <v>33</v>
      </c>
      <c r="AI49" s="7">
        <f>'Factor D Back Up'!E763</f>
        <v>368.87878787878788</v>
      </c>
      <c r="AJ49" s="7">
        <f>'Factor D Back Up'!F763</f>
        <v>12173</v>
      </c>
      <c r="AK49" s="7">
        <f>'Factor D Back Up'!G763</f>
        <v>10.632564692351925</v>
      </c>
      <c r="AL49" s="7">
        <f>'Factor D Back Up'!H763</f>
        <v>129430.20999999999</v>
      </c>
      <c r="AM49" s="7">
        <f>'Factor D Back Up'!D764</f>
        <v>22</v>
      </c>
      <c r="AN49" s="7">
        <f>'Factor D Back Up'!E764</f>
        <v>464.86363636363637</v>
      </c>
      <c r="AO49" s="7">
        <f>'Factor D Back Up'!F764</f>
        <v>10227</v>
      </c>
      <c r="AP49" s="7">
        <f>'Factor D Back Up'!G764</f>
        <v>10.331327857631758</v>
      </c>
      <c r="AQ49" s="7">
        <f>'Factor D Back Up'!H764</f>
        <v>105658.48999999999</v>
      </c>
      <c r="AR49" s="7">
        <f>'Factor D Back Up'!D765</f>
        <v>49</v>
      </c>
      <c r="AS49" s="7">
        <f>'Factor D Back Up'!E765</f>
        <v>616.16326530612241</v>
      </c>
      <c r="AT49" s="7">
        <f>'Factor D Back Up'!F765</f>
        <v>30192</v>
      </c>
      <c r="AU49" s="7">
        <f>'Factor D Back Up'!G765</f>
        <v>11.167774576046636</v>
      </c>
      <c r="AV49" s="7">
        <f>'Factor D Back Up'!H765</f>
        <v>337177.45</v>
      </c>
      <c r="AW49" s="7">
        <f>'Factor D Back Up'!D766</f>
        <v>49</v>
      </c>
      <c r="AX49" s="7">
        <f>'Factor D Back Up'!E766</f>
        <v>656.42841682127391</v>
      </c>
      <c r="AY49" s="7">
        <f>'Factor D Back Up'!F766</f>
        <v>32164.99242424242</v>
      </c>
      <c r="AZ49" s="7">
        <f>'Factor D Back Up'!G766</f>
        <v>11.98</v>
      </c>
      <c r="BA49" s="7">
        <f>'Factor D Back Up'!H766</f>
        <v>385336.60924242419</v>
      </c>
    </row>
    <row r="50" spans="1:53" x14ac:dyDescent="0.25">
      <c r="A50" s="110" t="s">
        <v>105</v>
      </c>
      <c r="B50" s="2" t="s">
        <v>184</v>
      </c>
      <c r="C50" s="2" t="s">
        <v>152</v>
      </c>
      <c r="D50" s="21">
        <v>103</v>
      </c>
      <c r="E50" s="22">
        <f t="shared" si="0"/>
        <v>1401.6504854368932</v>
      </c>
      <c r="F50" s="21">
        <v>144370</v>
      </c>
      <c r="G50" s="25">
        <f t="shared" si="1"/>
        <v>6.2958421417191932</v>
      </c>
      <c r="H50" s="274">
        <v>908930.73</v>
      </c>
      <c r="I50" s="21">
        <v>88</v>
      </c>
      <c r="J50" s="22">
        <f t="shared" si="6"/>
        <v>1694.5454545454545</v>
      </c>
      <c r="K50" s="21">
        <v>149120</v>
      </c>
      <c r="L50" s="24">
        <f t="shared" si="2"/>
        <v>6.2715342677038617</v>
      </c>
      <c r="M50" s="274">
        <v>935211.18999999983</v>
      </c>
      <c r="N50" s="21">
        <v>76</v>
      </c>
      <c r="O50" s="22">
        <f t="shared" si="18"/>
        <v>1948.4342105263158</v>
      </c>
      <c r="P50" s="21">
        <v>148081</v>
      </c>
      <c r="Q50" s="24">
        <f t="shared" si="19"/>
        <v>6.3156047028315596</v>
      </c>
      <c r="R50" s="274">
        <v>935221.06000000017</v>
      </c>
      <c r="S50" s="21">
        <v>77</v>
      </c>
      <c r="T50" s="22">
        <f t="shared" si="25"/>
        <v>1201.7142857142858</v>
      </c>
      <c r="U50" s="21">
        <v>92532</v>
      </c>
      <c r="V50" s="24">
        <f t="shared" si="26"/>
        <v>6.2854907491462431</v>
      </c>
      <c r="W50" s="24">
        <v>581609.03000000014</v>
      </c>
      <c r="X50" s="102">
        <v>51</v>
      </c>
      <c r="Y50" s="71">
        <f t="shared" si="8"/>
        <v>273.61333333333334</v>
      </c>
      <c r="Z50" s="102">
        <v>13954.28</v>
      </c>
      <c r="AA50" s="94">
        <f t="shared" si="9"/>
        <v>6.3046764146914063</v>
      </c>
      <c r="AB50" s="94">
        <v>87977.22</v>
      </c>
      <c r="AC50" s="7">
        <f>'Factor D Back Up'!D780</f>
        <v>33</v>
      </c>
      <c r="AD50" s="8">
        <f>'Factor D Back Up'!E780</f>
        <v>215.57575757575756</v>
      </c>
      <c r="AE50" s="7">
        <f>'Factor D Back Up'!F780</f>
        <v>7114</v>
      </c>
      <c r="AF50" s="5">
        <f>'Factor D Back Up'!G780</f>
        <v>6.3289879111610903</v>
      </c>
      <c r="AG50" s="5">
        <f>'Factor D Back Up'!H780</f>
        <v>45024.42</v>
      </c>
      <c r="AH50" s="7">
        <f>'Factor D Back Up'!D781</f>
        <v>0</v>
      </c>
      <c r="AI50" s="7">
        <f>'Factor D Back Up'!E781</f>
        <v>0</v>
      </c>
      <c r="AJ50" s="7">
        <f>'Factor D Back Up'!F781</f>
        <v>0</v>
      </c>
      <c r="AK50" s="7" t="e">
        <f>'Factor D Back Up'!G781</f>
        <v>#DIV/0!</v>
      </c>
      <c r="AL50" s="7">
        <f>'Factor D Back Up'!H781</f>
        <v>0</v>
      </c>
      <c r="AM50" s="7">
        <f>'Factor D Back Up'!D782</f>
        <v>7</v>
      </c>
      <c r="AN50" s="7">
        <f>'Factor D Back Up'!E782</f>
        <v>235.14285714285714</v>
      </c>
      <c r="AO50" s="7">
        <f>'Factor D Back Up'!F782</f>
        <v>1646</v>
      </c>
      <c r="AP50" s="7">
        <f>'Factor D Back Up'!G782</f>
        <v>6.3792102065613614</v>
      </c>
      <c r="AQ50" s="7">
        <f>'Factor D Back Up'!H782</f>
        <v>10500.18</v>
      </c>
      <c r="AR50" s="7">
        <f>'Factor D Back Up'!D783</f>
        <v>16</v>
      </c>
      <c r="AS50" s="7">
        <f>'Factor D Back Up'!E783</f>
        <v>506</v>
      </c>
      <c r="AT50" s="7">
        <f>'Factor D Back Up'!F783</f>
        <v>8096</v>
      </c>
      <c r="AU50" s="7">
        <f>'Factor D Back Up'!G783</f>
        <v>6.8895454545454538</v>
      </c>
      <c r="AV50" s="7">
        <f>'Factor D Back Up'!H783</f>
        <v>55777.759999999995</v>
      </c>
      <c r="AW50" s="7">
        <f>'Factor D Back Up'!D784</f>
        <v>18</v>
      </c>
      <c r="AX50" s="7">
        <f>'Factor D Back Up'!E784</f>
        <v>387.82381199752626</v>
      </c>
      <c r="AY50" s="7">
        <f>'Factor D Back Up'!F784</f>
        <v>6980.8286159554727</v>
      </c>
      <c r="AZ50" s="7">
        <f>'Factor D Back Up'!G784</f>
        <v>7.21</v>
      </c>
      <c r="BA50" s="7">
        <f>'Factor D Back Up'!H784</f>
        <v>50331.77432103896</v>
      </c>
    </row>
    <row r="51" spans="1:53" x14ac:dyDescent="0.25">
      <c r="A51" s="110" t="s">
        <v>106</v>
      </c>
      <c r="B51" s="2" t="s">
        <v>184</v>
      </c>
      <c r="C51" s="2" t="s">
        <v>152</v>
      </c>
      <c r="D51" s="21">
        <v>63</v>
      </c>
      <c r="E51" s="22">
        <f t="shared" si="0"/>
        <v>1915.2063492063492</v>
      </c>
      <c r="F51" s="21">
        <v>120658</v>
      </c>
      <c r="G51" s="25">
        <f t="shared" si="1"/>
        <v>10.416051898755159</v>
      </c>
      <c r="H51" s="274">
        <v>1256779.99</v>
      </c>
      <c r="I51" s="21">
        <v>85</v>
      </c>
      <c r="J51" s="22">
        <f t="shared" si="6"/>
        <v>2240.1058823529411</v>
      </c>
      <c r="K51" s="21">
        <v>190409</v>
      </c>
      <c r="L51" s="24">
        <f t="shared" si="2"/>
        <v>10.218882143176005</v>
      </c>
      <c r="M51" s="274">
        <v>1945767.13</v>
      </c>
      <c r="N51" s="21">
        <v>103</v>
      </c>
      <c r="O51" s="22">
        <f t="shared" si="18"/>
        <v>2743.6699029126212</v>
      </c>
      <c r="P51" s="21">
        <v>282598</v>
      </c>
      <c r="Q51" s="24">
        <f t="shared" si="19"/>
        <v>10.695692255429973</v>
      </c>
      <c r="R51" s="274">
        <v>3022581.2399999998</v>
      </c>
      <c r="S51" s="21">
        <v>143</v>
      </c>
      <c r="T51" s="22">
        <f t="shared" si="25"/>
        <v>1739.4755244755245</v>
      </c>
      <c r="U51" s="21">
        <v>248745</v>
      </c>
      <c r="V51" s="24">
        <f t="shared" si="26"/>
        <v>10.606899877384469</v>
      </c>
      <c r="W51" s="24">
        <v>2638413.31</v>
      </c>
      <c r="X51" s="102">
        <v>98</v>
      </c>
      <c r="Y51" s="71">
        <f t="shared" si="8"/>
        <v>870.5204081632653</v>
      </c>
      <c r="Z51" s="102">
        <v>85311</v>
      </c>
      <c r="AA51" s="94">
        <f t="shared" si="9"/>
        <v>10.658882793543622</v>
      </c>
      <c r="AB51" s="94">
        <v>909319.95</v>
      </c>
      <c r="AC51" s="7">
        <f>'Factor D Back Up'!D798</f>
        <v>69</v>
      </c>
      <c r="AD51" s="8">
        <f>'Factor D Back Up'!E798</f>
        <v>703.97101449275362</v>
      </c>
      <c r="AE51" s="7">
        <f>'Factor D Back Up'!F798</f>
        <v>48574</v>
      </c>
      <c r="AF51" s="5">
        <f>'Factor D Back Up'!G798</f>
        <v>10.369691192819204</v>
      </c>
      <c r="AG51" s="5">
        <f>'Factor D Back Up'!H798</f>
        <v>503697.38</v>
      </c>
      <c r="AH51" s="7">
        <f>'Factor D Back Up'!D799</f>
        <v>49</v>
      </c>
      <c r="AI51" s="7">
        <f>'Factor D Back Up'!E799</f>
        <v>1100.6734693877552</v>
      </c>
      <c r="AJ51" s="7">
        <f>'Factor D Back Up'!F799</f>
        <v>53933</v>
      </c>
      <c r="AK51" s="7">
        <f>'Factor D Back Up'!G799</f>
        <v>10.680415144716594</v>
      </c>
      <c r="AL51" s="7">
        <f>'Factor D Back Up'!H799</f>
        <v>576026.83000000007</v>
      </c>
      <c r="AM51" s="7">
        <f>'Factor D Back Up'!D800</f>
        <v>54</v>
      </c>
      <c r="AN51" s="7">
        <f>'Factor D Back Up'!E800</f>
        <v>1511.5555555555557</v>
      </c>
      <c r="AO51" s="7">
        <f>'Factor D Back Up'!F800</f>
        <v>81624</v>
      </c>
      <c r="AP51" s="7">
        <f>'Factor D Back Up'!G800</f>
        <v>10.692096932274822</v>
      </c>
      <c r="AQ51" s="7">
        <f>'Factor D Back Up'!H800</f>
        <v>872731.72000000009</v>
      </c>
      <c r="AR51" s="7">
        <f>'Factor D Back Up'!D801</f>
        <v>61</v>
      </c>
      <c r="AS51" s="7">
        <f>'Factor D Back Up'!E801</f>
        <v>931.81967213114751</v>
      </c>
      <c r="AT51" s="7">
        <f>'Factor D Back Up'!F801</f>
        <v>56841</v>
      </c>
      <c r="AU51" s="7">
        <f>'Factor D Back Up'!G801</f>
        <v>11.319645854224943</v>
      </c>
      <c r="AV51" s="7">
        <f>'Factor D Back Up'!H801</f>
        <v>643419.99</v>
      </c>
      <c r="AW51" s="7">
        <f>'Factor D Back Up'!D802</f>
        <v>71</v>
      </c>
      <c r="AX51" s="7">
        <f>'Factor D Back Up'!E802</f>
        <v>1303.0894752579102</v>
      </c>
      <c r="AY51" s="7">
        <f>'Factor D Back Up'!F802</f>
        <v>92519.352743311625</v>
      </c>
      <c r="AZ51" s="7">
        <f>'Factor D Back Up'!G802</f>
        <v>11.98</v>
      </c>
      <c r="BA51" s="7">
        <f>'Factor D Back Up'!H802</f>
        <v>1108381.8458648734</v>
      </c>
    </row>
    <row r="52" spans="1:53" x14ac:dyDescent="0.25">
      <c r="A52" s="110" t="s">
        <v>107</v>
      </c>
      <c r="B52" s="2" t="s">
        <v>184</v>
      </c>
      <c r="C52" s="2" t="s">
        <v>152</v>
      </c>
      <c r="D52" s="21">
        <v>128</v>
      </c>
      <c r="E52" s="22">
        <f t="shared" si="0"/>
        <v>2000</v>
      </c>
      <c r="F52" s="21">
        <v>256000</v>
      </c>
      <c r="G52" s="25">
        <f t="shared" si="1"/>
        <v>6.3253833984374994</v>
      </c>
      <c r="H52" s="274">
        <v>1619298.15</v>
      </c>
      <c r="I52" s="21">
        <v>130</v>
      </c>
      <c r="J52" s="22">
        <f t="shared" si="6"/>
        <v>2255.1076923076921</v>
      </c>
      <c r="K52" s="21">
        <v>293164</v>
      </c>
      <c r="L52" s="24">
        <f t="shared" si="2"/>
        <v>6.3277232879889764</v>
      </c>
      <c r="M52" s="274">
        <v>1855060.6700000004</v>
      </c>
      <c r="N52" s="21">
        <v>133</v>
      </c>
      <c r="O52" s="22">
        <f t="shared" si="18"/>
        <v>2278.3834586466164</v>
      </c>
      <c r="P52" s="21">
        <v>303025</v>
      </c>
      <c r="Q52" s="24">
        <f t="shared" si="19"/>
        <v>6.3276792343866015</v>
      </c>
      <c r="R52" s="274">
        <v>1917445</v>
      </c>
      <c r="S52" s="21">
        <v>154</v>
      </c>
      <c r="T52" s="22">
        <f t="shared" si="25"/>
        <v>1698.9610389610389</v>
      </c>
      <c r="U52" s="21">
        <v>261640</v>
      </c>
      <c r="V52" s="24">
        <f t="shared" si="26"/>
        <v>6.3013302247362768</v>
      </c>
      <c r="W52" s="24">
        <v>1648680.0399999996</v>
      </c>
      <c r="X52" s="102">
        <v>111</v>
      </c>
      <c r="Y52" s="71">
        <f t="shared" si="8"/>
        <v>813.6734234234234</v>
      </c>
      <c r="Z52" s="102">
        <v>90317.75</v>
      </c>
      <c r="AA52" s="94">
        <f t="shared" si="9"/>
        <v>6.3223119486479682</v>
      </c>
      <c r="AB52" s="94">
        <v>571016.99</v>
      </c>
      <c r="AC52" s="7">
        <f>'Factor D Back Up'!D816</f>
        <v>106</v>
      </c>
      <c r="AD52" s="8">
        <f>'Factor D Back Up'!E816</f>
        <v>547.30188679245282</v>
      </c>
      <c r="AE52" s="7">
        <f>'Factor D Back Up'!F816</f>
        <v>58014</v>
      </c>
      <c r="AF52" s="5">
        <f>'Factor D Back Up'!G816</f>
        <v>6.2731166614955018</v>
      </c>
      <c r="AG52" s="5">
        <f>'Factor D Back Up'!H816</f>
        <v>363928.59</v>
      </c>
      <c r="AH52" s="7">
        <f>'Factor D Back Up'!D817</f>
        <v>85</v>
      </c>
      <c r="AI52" s="7">
        <f>'Factor D Back Up'!E817</f>
        <v>551.34117647058827</v>
      </c>
      <c r="AJ52" s="7">
        <f>'Factor D Back Up'!F817</f>
        <v>46864</v>
      </c>
      <c r="AK52" s="7">
        <f>'Factor D Back Up'!G817</f>
        <v>6.1829314612495736</v>
      </c>
      <c r="AL52" s="7">
        <f>'Factor D Back Up'!H817</f>
        <v>289756.90000000002</v>
      </c>
      <c r="AM52" s="7">
        <f>'Factor D Back Up'!D818</f>
        <v>56</v>
      </c>
      <c r="AN52" s="7">
        <f>'Factor D Back Up'!E818</f>
        <v>823.53571428571433</v>
      </c>
      <c r="AO52" s="7">
        <f>'Factor D Back Up'!F818</f>
        <v>46118</v>
      </c>
      <c r="AP52" s="7">
        <f>'Factor D Back Up'!G818</f>
        <v>6.3142929008196367</v>
      </c>
      <c r="AQ52" s="7">
        <f>'Factor D Back Up'!H818</f>
        <v>291202.56</v>
      </c>
      <c r="AR52" s="7">
        <f>'Factor D Back Up'!D819</f>
        <v>75</v>
      </c>
      <c r="AS52" s="7">
        <f>'Factor D Back Up'!E819</f>
        <v>837.86666666666667</v>
      </c>
      <c r="AT52" s="7">
        <f>'Factor D Back Up'!F819</f>
        <v>62840</v>
      </c>
      <c r="AU52" s="7">
        <f>'Factor D Back Up'!G819</f>
        <v>6.9309807447485667</v>
      </c>
      <c r="AV52" s="7">
        <f>'Factor D Back Up'!H819</f>
        <v>435542.82999999996</v>
      </c>
      <c r="AW52" s="7">
        <f>'Factor D Back Up'!D820</f>
        <v>79</v>
      </c>
      <c r="AX52" s="7">
        <f>'Factor D Back Up'!E820</f>
        <v>812.65148934331501</v>
      </c>
      <c r="AY52" s="7">
        <f>'Factor D Back Up'!F820</f>
        <v>64199.467658121888</v>
      </c>
      <c r="AZ52" s="7">
        <f>'Factor D Back Up'!G820</f>
        <v>7.21</v>
      </c>
      <c r="BA52" s="7">
        <f>'Factor D Back Up'!H820</f>
        <v>462878.16181505879</v>
      </c>
    </row>
    <row r="53" spans="1:53" s="97" customFormat="1" x14ac:dyDescent="0.25">
      <c r="A53" s="100" t="s">
        <v>77</v>
      </c>
      <c r="B53" s="111"/>
      <c r="C53" s="111"/>
      <c r="D53" s="112"/>
      <c r="E53" s="99"/>
      <c r="F53" s="112"/>
      <c r="G53" s="113"/>
      <c r="H53" s="113"/>
      <c r="I53" s="112"/>
      <c r="J53" s="99"/>
      <c r="K53" s="112"/>
      <c r="L53" s="113"/>
      <c r="M53" s="113"/>
      <c r="N53" s="112"/>
      <c r="O53" s="99"/>
      <c r="P53" s="112"/>
      <c r="Q53" s="113"/>
      <c r="R53" s="113"/>
      <c r="S53" s="112"/>
      <c r="T53" s="99"/>
      <c r="U53" s="112"/>
      <c r="V53" s="113"/>
      <c r="W53" s="113"/>
      <c r="X53" s="114"/>
      <c r="Y53" s="99"/>
      <c r="Z53" s="114"/>
      <c r="AA53" s="115"/>
      <c r="AB53" s="115"/>
      <c r="AC53" s="112" t="e">
        <f>'Factor D Back Up'!#REF!</f>
        <v>#REF!</v>
      </c>
      <c r="AD53" s="99" t="e">
        <f>'Factor D Back Up'!#REF!</f>
        <v>#REF!</v>
      </c>
      <c r="AE53" s="112" t="e">
        <f>'Factor D Back Up'!#REF!</f>
        <v>#REF!</v>
      </c>
      <c r="AF53" s="113" t="e">
        <f>'Factor D Back Up'!#REF!</f>
        <v>#REF!</v>
      </c>
      <c r="AG53" s="113" t="e">
        <f>'Factor D Back Up'!#REF!</f>
        <v>#REF!</v>
      </c>
      <c r="AH53" s="112" t="e">
        <f>'Factor D Back Up'!#REF!</f>
        <v>#REF!</v>
      </c>
      <c r="AI53" s="112" t="e">
        <f>'Factor D Back Up'!#REF!</f>
        <v>#REF!</v>
      </c>
      <c r="AJ53" s="112" t="e">
        <f>'Factor D Back Up'!#REF!</f>
        <v>#REF!</v>
      </c>
      <c r="AK53" s="112" t="e">
        <f>'Factor D Back Up'!#REF!</f>
        <v>#REF!</v>
      </c>
      <c r="AL53" s="112" t="e">
        <f>'Factor D Back Up'!#REF!</f>
        <v>#REF!</v>
      </c>
      <c r="AM53" s="112" t="e">
        <f>'Factor D Back Up'!#REF!</f>
        <v>#REF!</v>
      </c>
      <c r="AN53" s="112" t="e">
        <f>'Factor D Back Up'!#REF!</f>
        <v>#REF!</v>
      </c>
      <c r="AO53" s="112" t="e">
        <f>'Factor D Back Up'!#REF!</f>
        <v>#REF!</v>
      </c>
      <c r="AP53" s="112" t="e">
        <f>'Factor D Back Up'!#REF!</f>
        <v>#REF!</v>
      </c>
      <c r="AQ53" s="112" t="e">
        <f>'Factor D Back Up'!#REF!</f>
        <v>#REF!</v>
      </c>
      <c r="AR53" s="112" t="e">
        <f>'Factor D Back Up'!#REF!</f>
        <v>#REF!</v>
      </c>
      <c r="AS53" s="112" t="e">
        <f>'Factor D Back Up'!#REF!</f>
        <v>#REF!</v>
      </c>
      <c r="AT53" s="112" t="e">
        <f>'Factor D Back Up'!#REF!</f>
        <v>#REF!</v>
      </c>
      <c r="AU53" s="112" t="e">
        <f>'Factor D Back Up'!#REF!</f>
        <v>#REF!</v>
      </c>
      <c r="AV53" s="112" t="e">
        <f>'Factor D Back Up'!#REF!</f>
        <v>#REF!</v>
      </c>
      <c r="AW53" s="112" t="e">
        <f>'Factor D Back Up'!#REF!</f>
        <v>#REF!</v>
      </c>
      <c r="AX53" s="112" t="e">
        <f>'Factor D Back Up'!#REF!</f>
        <v>#REF!</v>
      </c>
      <c r="AY53" s="112" t="e">
        <f>'Factor D Back Up'!#REF!</f>
        <v>#REF!</v>
      </c>
      <c r="AZ53" s="112" t="e">
        <f>'Factor D Back Up'!#REF!</f>
        <v>#REF!</v>
      </c>
      <c r="BA53" s="112" t="e">
        <f>'Factor D Back Up'!#REF!</f>
        <v>#REF!</v>
      </c>
    </row>
    <row r="54" spans="1:53" s="97" customFormat="1" x14ac:dyDescent="0.25">
      <c r="A54" s="100" t="s">
        <v>78</v>
      </c>
      <c r="B54" s="111"/>
      <c r="C54" s="111"/>
      <c r="D54" s="112"/>
      <c r="E54" s="99"/>
      <c r="F54" s="112"/>
      <c r="G54" s="113"/>
      <c r="H54" s="113"/>
      <c r="I54" s="112"/>
      <c r="J54" s="99"/>
      <c r="K54" s="112"/>
      <c r="L54" s="113"/>
      <c r="M54" s="113"/>
      <c r="N54" s="112"/>
      <c r="O54" s="99"/>
      <c r="P54" s="112"/>
      <c r="Q54" s="113"/>
      <c r="R54" s="113"/>
      <c r="S54" s="112"/>
      <c r="T54" s="99"/>
      <c r="U54" s="112"/>
      <c r="V54" s="113"/>
      <c r="W54" s="113"/>
      <c r="X54" s="114"/>
      <c r="Y54" s="99"/>
      <c r="Z54" s="114"/>
      <c r="AA54" s="115"/>
      <c r="AB54" s="115"/>
      <c r="AC54" s="112">
        <f>'Factor D Back Up'!D1284</f>
        <v>0</v>
      </c>
      <c r="AD54" s="99">
        <f>'Factor D Back Up'!E1284</f>
        <v>0</v>
      </c>
      <c r="AE54" s="112">
        <f>'Factor D Back Up'!F1284</f>
        <v>0</v>
      </c>
      <c r="AF54" s="113" t="e">
        <f>'Factor D Back Up'!G1284</f>
        <v>#DIV/0!</v>
      </c>
      <c r="AG54" s="113">
        <f>'Factor D Back Up'!H1284</f>
        <v>0</v>
      </c>
      <c r="AH54" s="112">
        <f>'Factor D Back Up'!D1285</f>
        <v>0</v>
      </c>
      <c r="AI54" s="112">
        <f>'Factor D Back Up'!E1285</f>
        <v>0</v>
      </c>
      <c r="AJ54" s="112">
        <f>'Factor D Back Up'!F1285</f>
        <v>0</v>
      </c>
      <c r="AK54" s="112" t="e">
        <f>'Factor D Back Up'!G1285</f>
        <v>#DIV/0!</v>
      </c>
      <c r="AL54" s="112">
        <f>'Factor D Back Up'!H1285</f>
        <v>0</v>
      </c>
      <c r="AM54" s="112">
        <f>'Factor D Back Up'!D1286</f>
        <v>0</v>
      </c>
      <c r="AN54" s="112">
        <f>'Factor D Back Up'!E1286</f>
        <v>0</v>
      </c>
      <c r="AO54" s="112">
        <f>'Factor D Back Up'!F1286</f>
        <v>0</v>
      </c>
      <c r="AP54" s="112" t="e">
        <f>'Factor D Back Up'!G1286</f>
        <v>#DIV/0!</v>
      </c>
      <c r="AQ54" s="112">
        <f>'Factor D Back Up'!H1286</f>
        <v>0</v>
      </c>
      <c r="AR54" s="112">
        <f>'Factor D Back Up'!D1287</f>
        <v>0</v>
      </c>
      <c r="AS54" s="112">
        <f>'Factor D Back Up'!E1287</f>
        <v>0</v>
      </c>
      <c r="AT54" s="112">
        <f>'Factor D Back Up'!F1287</f>
        <v>0</v>
      </c>
      <c r="AU54" s="112" t="e">
        <f>'Factor D Back Up'!G1287</f>
        <v>#DIV/0!</v>
      </c>
      <c r="AV54" s="112">
        <f>'Factor D Back Up'!H1287</f>
        <v>0</v>
      </c>
      <c r="AW54" s="112">
        <f>'Factor D Back Up'!D1288</f>
        <v>0</v>
      </c>
      <c r="AX54" s="112">
        <f>'Factor D Back Up'!E1288</f>
        <v>640</v>
      </c>
      <c r="AY54" s="112">
        <f>'Factor D Back Up'!F1288</f>
        <v>0</v>
      </c>
      <c r="AZ54" s="112">
        <f>'Factor D Back Up'!G1288</f>
        <v>5.82</v>
      </c>
      <c r="BA54" s="112">
        <f>'Factor D Back Up'!H1288</f>
        <v>0</v>
      </c>
    </row>
    <row r="55" spans="1:53" x14ac:dyDescent="0.25">
      <c r="A55" s="110" t="s">
        <v>108</v>
      </c>
      <c r="B55" s="2" t="s">
        <v>138</v>
      </c>
      <c r="C55" s="2" t="s">
        <v>135</v>
      </c>
      <c r="D55" s="21">
        <v>28</v>
      </c>
      <c r="E55" s="22">
        <f t="shared" si="0"/>
        <v>142</v>
      </c>
      <c r="F55" s="21">
        <v>3976</v>
      </c>
      <c r="G55" s="25">
        <f t="shared" si="1"/>
        <v>194.72862173038229</v>
      </c>
      <c r="H55" s="274">
        <v>774241</v>
      </c>
      <c r="I55" s="21">
        <v>15</v>
      </c>
      <c r="J55" s="22">
        <f t="shared" si="6"/>
        <v>259.53333333333336</v>
      </c>
      <c r="K55" s="21">
        <v>3893</v>
      </c>
      <c r="L55" s="24">
        <f t="shared" si="2"/>
        <v>194.97251477010019</v>
      </c>
      <c r="M55" s="274">
        <v>759028</v>
      </c>
      <c r="N55" s="21">
        <v>15</v>
      </c>
      <c r="O55" s="22">
        <f t="shared" si="18"/>
        <v>249.06666666666666</v>
      </c>
      <c r="P55" s="21">
        <v>3736</v>
      </c>
      <c r="Q55" s="24">
        <f t="shared" si="19"/>
        <v>195</v>
      </c>
      <c r="R55" s="274">
        <v>728520</v>
      </c>
      <c r="S55" s="21">
        <v>26</v>
      </c>
      <c r="T55" s="22">
        <f t="shared" si="25"/>
        <v>136.03846153846155</v>
      </c>
      <c r="U55" s="21">
        <v>3537</v>
      </c>
      <c r="V55" s="24">
        <f t="shared" si="26"/>
        <v>195</v>
      </c>
      <c r="W55" s="24">
        <v>689715</v>
      </c>
      <c r="X55" s="102">
        <v>8</v>
      </c>
      <c r="Y55" s="71">
        <f t="shared" ref="Y55:Y78" si="27">Z55/X55</f>
        <v>278.75</v>
      </c>
      <c r="Z55" s="102">
        <v>2230</v>
      </c>
      <c r="AA55" s="94">
        <f>AB55/Z55</f>
        <v>195</v>
      </c>
      <c r="AB55" s="94">
        <v>434850</v>
      </c>
      <c r="AC55" s="7">
        <f>'Factor D Back Up'!D834</f>
        <v>23</v>
      </c>
      <c r="AD55" s="8">
        <f>'Factor D Back Up'!E834</f>
        <v>114.47826086956522</v>
      </c>
      <c r="AE55" s="7">
        <f>'Factor D Back Up'!F834</f>
        <v>2633</v>
      </c>
      <c r="AF55" s="5">
        <f>'Factor D Back Up'!G834</f>
        <v>232.98556779339157</v>
      </c>
      <c r="AG55" s="5">
        <f>'Factor D Back Up'!H834</f>
        <v>613451</v>
      </c>
      <c r="AH55" s="7">
        <f>'Factor D Back Up'!D835</f>
        <v>15</v>
      </c>
      <c r="AI55" s="7">
        <f>'Factor D Back Up'!E835</f>
        <v>115.06666666666666</v>
      </c>
      <c r="AJ55" s="7">
        <f>'Factor D Back Up'!F835</f>
        <v>1726</v>
      </c>
      <c r="AK55" s="7">
        <f>'Factor D Back Up'!G835</f>
        <v>236.5092062572422</v>
      </c>
      <c r="AL55" s="7">
        <f>'Factor D Back Up'!H835</f>
        <v>408214.89</v>
      </c>
      <c r="AM55" s="7">
        <f>'Factor D Back Up'!D836</f>
        <v>10</v>
      </c>
      <c r="AN55" s="7">
        <f>'Factor D Back Up'!E836</f>
        <v>134.80000000000001</v>
      </c>
      <c r="AO55" s="7">
        <f>'Factor D Back Up'!F836</f>
        <v>1348</v>
      </c>
      <c r="AP55" s="7">
        <f>'Factor D Back Up'!G836</f>
        <v>256.03000000000003</v>
      </c>
      <c r="AQ55" s="7">
        <f>'Factor D Back Up'!H836</f>
        <v>345128.44</v>
      </c>
      <c r="AR55" s="7">
        <f>'Factor D Back Up'!D837</f>
        <v>5</v>
      </c>
      <c r="AS55" s="7">
        <f>'Factor D Back Up'!E837</f>
        <v>240.8</v>
      </c>
      <c r="AT55" s="7">
        <f>'Factor D Back Up'!F837</f>
        <v>1204</v>
      </c>
      <c r="AU55" s="7">
        <f>'Factor D Back Up'!G837</f>
        <v>253.85674418604654</v>
      </c>
      <c r="AV55" s="7">
        <f>'Factor D Back Up'!H837</f>
        <v>305643.52000000002</v>
      </c>
      <c r="AW55" s="7">
        <f>'Factor D Back Up'!D838</f>
        <v>3</v>
      </c>
      <c r="AX55" s="7">
        <f>'Factor D Back Up'!E838</f>
        <v>163.23480428589124</v>
      </c>
      <c r="AY55" s="7">
        <f>'Factor D Back Up'!F838</f>
        <v>489.70441285767373</v>
      </c>
      <c r="AZ55" s="7">
        <f>'Factor D Back Up'!G838</f>
        <v>232.78</v>
      </c>
      <c r="BA55" s="7">
        <f>'Factor D Back Up'!H838</f>
        <v>113993.39322500929</v>
      </c>
    </row>
    <row r="56" spans="1:53" x14ac:dyDescent="0.25">
      <c r="A56" s="110" t="s">
        <v>109</v>
      </c>
      <c r="B56" s="2" t="s">
        <v>138</v>
      </c>
      <c r="C56" s="2" t="s">
        <v>135</v>
      </c>
      <c r="D56" s="21">
        <v>32</v>
      </c>
      <c r="E56" s="22">
        <f t="shared" si="0"/>
        <v>193.75</v>
      </c>
      <c r="F56" s="21">
        <v>6200</v>
      </c>
      <c r="G56" s="25">
        <f t="shared" si="1"/>
        <v>239.73174193548388</v>
      </c>
      <c r="H56" s="274">
        <v>1486336.8</v>
      </c>
      <c r="I56" s="21">
        <v>52</v>
      </c>
      <c r="J56" s="22">
        <f t="shared" si="6"/>
        <v>177.86538461538461</v>
      </c>
      <c r="K56" s="21">
        <v>9249</v>
      </c>
      <c r="L56" s="24">
        <f t="shared" si="2"/>
        <v>239.69172883554978</v>
      </c>
      <c r="M56" s="274">
        <v>2216908.7999999998</v>
      </c>
      <c r="N56" s="21">
        <v>53</v>
      </c>
      <c r="O56" s="22">
        <f t="shared" si="18"/>
        <v>231.83018867924528</v>
      </c>
      <c r="P56" s="21">
        <v>12287</v>
      </c>
      <c r="Q56" s="24">
        <f t="shared" si="19"/>
        <v>240</v>
      </c>
      <c r="R56" s="274">
        <v>2948880</v>
      </c>
      <c r="S56" s="21">
        <v>61</v>
      </c>
      <c r="T56" s="22">
        <f t="shared" si="25"/>
        <v>201.88524590163934</v>
      </c>
      <c r="U56" s="21">
        <v>12315</v>
      </c>
      <c r="V56" s="24">
        <f t="shared" si="26"/>
        <v>240</v>
      </c>
      <c r="W56" s="24">
        <v>2955600</v>
      </c>
      <c r="X56" s="102">
        <v>53</v>
      </c>
      <c r="Y56" s="71">
        <f t="shared" si="27"/>
        <v>282.58490566037733</v>
      </c>
      <c r="Z56" s="102">
        <v>14977</v>
      </c>
      <c r="AA56" s="94">
        <f t="shared" ref="AA56:AA78" si="28">AB56/Z56</f>
        <v>240</v>
      </c>
      <c r="AB56" s="94">
        <v>3594480</v>
      </c>
      <c r="AC56" s="7">
        <f>'Factor D Back Up'!D852</f>
        <v>98</v>
      </c>
      <c r="AD56" s="8">
        <f>'Factor D Back Up'!E852</f>
        <v>157</v>
      </c>
      <c r="AE56" s="7">
        <f>'Factor D Back Up'!F852</f>
        <v>15386</v>
      </c>
      <c r="AF56" s="5">
        <f>'Factor D Back Up'!G852</f>
        <v>251.77304042636163</v>
      </c>
      <c r="AG56" s="5">
        <f>'Factor D Back Up'!H852</f>
        <v>3873780</v>
      </c>
      <c r="AH56" s="7">
        <f>'Factor D Back Up'!D853</f>
        <v>90</v>
      </c>
      <c r="AI56" s="7">
        <f>'Factor D Back Up'!E853</f>
        <v>137.61111111111111</v>
      </c>
      <c r="AJ56" s="7">
        <f>'Factor D Back Up'!F853</f>
        <v>12385</v>
      </c>
      <c r="AK56" s="7">
        <f>'Factor D Back Up'!G853</f>
        <v>254.29097941057731</v>
      </c>
      <c r="AL56" s="7">
        <f>'Factor D Back Up'!H853</f>
        <v>3149393.78</v>
      </c>
      <c r="AM56" s="7">
        <f>'Factor D Back Up'!D854</f>
        <v>33</v>
      </c>
      <c r="AN56" s="7">
        <f>'Factor D Back Up'!E854</f>
        <v>287.5151515151515</v>
      </c>
      <c r="AO56" s="7">
        <f>'Factor D Back Up'!F854</f>
        <v>9488</v>
      </c>
      <c r="AP56" s="7">
        <f>'Factor D Back Up'!G854</f>
        <v>273.55971543001687</v>
      </c>
      <c r="AQ56" s="7">
        <f>'Factor D Back Up'!H854</f>
        <v>2595534.58</v>
      </c>
      <c r="AR56" s="7">
        <f>'Factor D Back Up'!D855</f>
        <v>35</v>
      </c>
      <c r="AS56" s="7">
        <f>'Factor D Back Up'!E855</f>
        <v>221.02857142857144</v>
      </c>
      <c r="AT56" s="7">
        <f>'Factor D Back Up'!F855</f>
        <v>7736</v>
      </c>
      <c r="AU56" s="7">
        <f>'Factor D Back Up'!G855</f>
        <v>264.31654214064116</v>
      </c>
      <c r="AV56" s="7">
        <f>'Factor D Back Up'!H855</f>
        <v>2044752.77</v>
      </c>
      <c r="AW56" s="7">
        <f>'Factor D Back Up'!D856</f>
        <v>25</v>
      </c>
      <c r="AX56" s="7">
        <f>'Factor D Back Up'!E856</f>
        <v>227.04069599788619</v>
      </c>
      <c r="AY56" s="7">
        <f>'Factor D Back Up'!F856</f>
        <v>5676.0173999471544</v>
      </c>
      <c r="AZ56" s="7">
        <f>'Factor D Back Up'!G856</f>
        <v>243.13</v>
      </c>
      <c r="BA56" s="7">
        <f>'Factor D Back Up'!H856</f>
        <v>1380010.1104491516</v>
      </c>
    </row>
    <row r="57" spans="1:53" x14ac:dyDescent="0.25">
      <c r="A57" s="110" t="s">
        <v>110</v>
      </c>
      <c r="B57" s="2" t="s">
        <v>138</v>
      </c>
      <c r="C57" s="2" t="s">
        <v>135</v>
      </c>
      <c r="D57" s="21">
        <v>8</v>
      </c>
      <c r="E57" s="22">
        <f t="shared" si="0"/>
        <v>26.375</v>
      </c>
      <c r="F57" s="21">
        <v>211</v>
      </c>
      <c r="G57" s="25">
        <f t="shared" si="1"/>
        <v>283.5924170616114</v>
      </c>
      <c r="H57" s="274">
        <v>59838</v>
      </c>
      <c r="I57" s="21">
        <v>3</v>
      </c>
      <c r="J57" s="22">
        <f t="shared" si="6"/>
        <v>155.33333333333334</v>
      </c>
      <c r="K57" s="21">
        <v>466</v>
      </c>
      <c r="L57" s="24">
        <f t="shared" si="2"/>
        <v>286</v>
      </c>
      <c r="M57" s="274">
        <v>133276</v>
      </c>
      <c r="N57" s="21">
        <v>3</v>
      </c>
      <c r="O57" s="22">
        <f t="shared" si="18"/>
        <v>219</v>
      </c>
      <c r="P57" s="21">
        <v>657</v>
      </c>
      <c r="Q57" s="24">
        <f t="shared" si="19"/>
        <v>286</v>
      </c>
      <c r="R57" s="274">
        <v>187902</v>
      </c>
      <c r="S57" s="21">
        <v>3</v>
      </c>
      <c r="T57" s="22">
        <f t="shared" si="25"/>
        <v>12.333333333333334</v>
      </c>
      <c r="U57" s="21">
        <v>37</v>
      </c>
      <c r="V57" s="24">
        <f t="shared" si="26"/>
        <v>286</v>
      </c>
      <c r="W57" s="24">
        <v>10582</v>
      </c>
      <c r="X57" s="102">
        <v>3</v>
      </c>
      <c r="Y57" s="71">
        <f t="shared" si="27"/>
        <v>196.33333333333334</v>
      </c>
      <c r="Z57" s="102">
        <v>589</v>
      </c>
      <c r="AA57" s="94">
        <f t="shared" si="28"/>
        <v>286</v>
      </c>
      <c r="AB57" s="94">
        <v>168454</v>
      </c>
      <c r="AC57" s="7">
        <f>'Factor D Back Up'!D870</f>
        <v>5</v>
      </c>
      <c r="AD57" s="8">
        <f>'Factor D Back Up'!E870</f>
        <v>128.6</v>
      </c>
      <c r="AE57" s="7">
        <f>'Factor D Back Up'!F870</f>
        <v>643</v>
      </c>
      <c r="AF57" s="5">
        <f>'Factor D Back Up'!G870</f>
        <v>286</v>
      </c>
      <c r="AG57" s="5">
        <f>'Factor D Back Up'!H870</f>
        <v>183898</v>
      </c>
      <c r="AH57" s="7">
        <f>'Factor D Back Up'!D871</f>
        <v>0</v>
      </c>
      <c r="AI57" s="7">
        <f>'Factor D Back Up'!E871</f>
        <v>0</v>
      </c>
      <c r="AJ57" s="7">
        <f>'Factor D Back Up'!F871</f>
        <v>0</v>
      </c>
      <c r="AK57" s="7" t="e">
        <f>'Factor D Back Up'!G871</f>
        <v>#DIV/0!</v>
      </c>
      <c r="AL57" s="7">
        <f>'Factor D Back Up'!H871</f>
        <v>0</v>
      </c>
      <c r="AM57" s="7">
        <f>'Factor D Back Up'!D872</f>
        <v>0</v>
      </c>
      <c r="AN57" s="7">
        <f>'Factor D Back Up'!E872</f>
        <v>0</v>
      </c>
      <c r="AO57" s="7">
        <f>'Factor D Back Up'!F872</f>
        <v>0</v>
      </c>
      <c r="AP57" s="7" t="e">
        <f>'Factor D Back Up'!G872</f>
        <v>#DIV/0!</v>
      </c>
      <c r="AQ57" s="7">
        <f>'Factor D Back Up'!H872</f>
        <v>0</v>
      </c>
      <c r="AR57" s="7">
        <f>'Factor D Back Up'!D873</f>
        <v>0</v>
      </c>
      <c r="AS57" s="7">
        <f>'Factor D Back Up'!E873</f>
        <v>0</v>
      </c>
      <c r="AT57" s="7">
        <f>'Factor D Back Up'!F873</f>
        <v>0</v>
      </c>
      <c r="AU57" s="7" t="e">
        <f>'Factor D Back Up'!G873</f>
        <v>#DIV/0!</v>
      </c>
      <c r="AV57" s="7">
        <f>'Factor D Back Up'!H873</f>
        <v>0</v>
      </c>
      <c r="AW57" s="7">
        <f>'Factor D Back Up'!D874</f>
        <v>2</v>
      </c>
      <c r="AX57" s="7">
        <f>'Factor D Back Up'!E874</f>
        <v>202.38095238095241</v>
      </c>
      <c r="AY57" s="7">
        <f>'Factor D Back Up'!F874</f>
        <v>404.76190476190482</v>
      </c>
      <c r="AZ57" s="7">
        <f>'Factor D Back Up'!G874</f>
        <v>328.58</v>
      </c>
      <c r="BA57" s="7">
        <f>'Factor D Back Up'!H874</f>
        <v>132996.66666666669</v>
      </c>
    </row>
    <row r="58" spans="1:53" x14ac:dyDescent="0.25">
      <c r="A58" s="110" t="s">
        <v>111</v>
      </c>
      <c r="B58" s="2" t="s">
        <v>138</v>
      </c>
      <c r="C58" s="2" t="s">
        <v>135</v>
      </c>
      <c r="D58" s="21">
        <v>23</v>
      </c>
      <c r="E58" s="22">
        <f t="shared" si="0"/>
        <v>93.608695652173907</v>
      </c>
      <c r="F58" s="21">
        <v>2153</v>
      </c>
      <c r="G58" s="25">
        <f t="shared" si="1"/>
        <v>327.09405480724575</v>
      </c>
      <c r="H58" s="274">
        <v>704233.50000000012</v>
      </c>
      <c r="I58" s="21">
        <v>17</v>
      </c>
      <c r="J58" s="22">
        <f t="shared" si="6"/>
        <v>137</v>
      </c>
      <c r="K58" s="21">
        <v>2329</v>
      </c>
      <c r="L58" s="24">
        <f t="shared" si="2"/>
        <v>328.462516101331</v>
      </c>
      <c r="M58" s="274">
        <v>764989.2</v>
      </c>
      <c r="N58" s="21">
        <v>20</v>
      </c>
      <c r="O58" s="22">
        <f t="shared" si="18"/>
        <v>146.4</v>
      </c>
      <c r="P58" s="21">
        <v>2928</v>
      </c>
      <c r="Q58" s="24">
        <f t="shared" si="19"/>
        <v>329.46174863387978</v>
      </c>
      <c r="R58" s="274">
        <v>964664</v>
      </c>
      <c r="S58" s="21">
        <v>19</v>
      </c>
      <c r="T58" s="22">
        <f t="shared" si="25"/>
        <v>128.10526315789474</v>
      </c>
      <c r="U58" s="21">
        <v>2434</v>
      </c>
      <c r="V58" s="24">
        <f t="shared" si="26"/>
        <v>329.52013147082994</v>
      </c>
      <c r="W58" s="24">
        <v>802052</v>
      </c>
      <c r="X58" s="102">
        <v>15</v>
      </c>
      <c r="Y58" s="71">
        <f>Z58/X58</f>
        <v>213</v>
      </c>
      <c r="Z58" s="102">
        <v>3195</v>
      </c>
      <c r="AA58" s="94">
        <f t="shared" si="28"/>
        <v>329.19218779342725</v>
      </c>
      <c r="AB58" s="94">
        <v>1051769.04</v>
      </c>
      <c r="AC58" s="7">
        <f>'Factor D Back Up'!D888</f>
        <v>26</v>
      </c>
      <c r="AD58" s="8">
        <f>'Factor D Back Up'!E888</f>
        <v>136.11538461538461</v>
      </c>
      <c r="AE58" s="7">
        <f>'Factor D Back Up'!F888</f>
        <v>3539</v>
      </c>
      <c r="AF58" s="5">
        <f>'Factor D Back Up'!G888</f>
        <v>311</v>
      </c>
      <c r="AG58" s="5">
        <f>'Factor D Back Up'!H888</f>
        <v>1100629</v>
      </c>
      <c r="AH58" s="7">
        <f>'Factor D Back Up'!D889</f>
        <v>23</v>
      </c>
      <c r="AI58" s="7">
        <f>'Factor D Back Up'!E889</f>
        <v>139.21739130434781</v>
      </c>
      <c r="AJ58" s="7">
        <f>'Factor D Back Up'!F889</f>
        <v>3202</v>
      </c>
      <c r="AK58" s="7">
        <f>'Factor D Back Up'!G889</f>
        <v>310.41959400374765</v>
      </c>
      <c r="AL58" s="7">
        <f>'Factor D Back Up'!H889</f>
        <v>993963.54</v>
      </c>
      <c r="AM58" s="7">
        <f>'Factor D Back Up'!D890</f>
        <v>11</v>
      </c>
      <c r="AN58" s="7">
        <f>'Factor D Back Up'!E890</f>
        <v>214.54545454545453</v>
      </c>
      <c r="AO58" s="7">
        <f>'Factor D Back Up'!F890</f>
        <v>2360</v>
      </c>
      <c r="AP58" s="7">
        <f>'Factor D Back Up'!G890</f>
        <v>338.5476652542373</v>
      </c>
      <c r="AQ58" s="7">
        <f>'Factor D Back Up'!H890</f>
        <v>798972.49</v>
      </c>
      <c r="AR58" s="7">
        <f>'Factor D Back Up'!D891</f>
        <v>13</v>
      </c>
      <c r="AS58" s="7">
        <f>'Factor D Back Up'!E891</f>
        <v>189</v>
      </c>
      <c r="AT58" s="7">
        <f>'Factor D Back Up'!F891</f>
        <v>2457</v>
      </c>
      <c r="AU58" s="7">
        <f>'Factor D Back Up'!G891</f>
        <v>335.42472120472121</v>
      </c>
      <c r="AV58" s="7">
        <f>'Factor D Back Up'!H891</f>
        <v>824138.54</v>
      </c>
      <c r="AW58" s="7">
        <f>'Factor D Back Up'!D892</f>
        <v>9</v>
      </c>
      <c r="AX58" s="7">
        <f>'Factor D Back Up'!E892</f>
        <v>205.68480414513022</v>
      </c>
      <c r="AY58" s="7">
        <f>'Factor D Back Up'!F892</f>
        <v>1851.1632373061721</v>
      </c>
      <c r="AZ58" s="7">
        <f>'Factor D Back Up'!G892</f>
        <v>338.93</v>
      </c>
      <c r="BA58" s="7">
        <f>'Factor D Back Up'!H892</f>
        <v>627414.75602018088</v>
      </c>
    </row>
    <row r="59" spans="1:53" x14ac:dyDescent="0.25">
      <c r="A59" s="110" t="s">
        <v>112</v>
      </c>
      <c r="B59" s="2" t="s">
        <v>138</v>
      </c>
      <c r="C59" s="2" t="s">
        <v>135</v>
      </c>
      <c r="D59" s="21">
        <v>67</v>
      </c>
      <c r="E59" s="22">
        <f t="shared" si="0"/>
        <v>221.46268656716418</v>
      </c>
      <c r="F59" s="21">
        <v>14838</v>
      </c>
      <c r="G59" s="25">
        <f t="shared" si="1"/>
        <v>358.74558565844455</v>
      </c>
      <c r="H59" s="274">
        <v>5323067</v>
      </c>
      <c r="I59" s="21">
        <v>49</v>
      </c>
      <c r="J59" s="22">
        <f t="shared" si="6"/>
        <v>285</v>
      </c>
      <c r="K59" s="21">
        <v>13965</v>
      </c>
      <c r="L59" s="24">
        <f t="shared" si="2"/>
        <v>361.33404940923737</v>
      </c>
      <c r="M59" s="274">
        <v>5046030</v>
      </c>
      <c r="N59" s="21">
        <v>64</v>
      </c>
      <c r="O59" s="22">
        <f t="shared" si="18"/>
        <v>248.609375</v>
      </c>
      <c r="P59" s="21">
        <v>15911</v>
      </c>
      <c r="Q59" s="24">
        <f t="shared" si="19"/>
        <v>357.79496009050342</v>
      </c>
      <c r="R59" s="274">
        <v>5692875.6100000003</v>
      </c>
      <c r="S59" s="21">
        <v>72</v>
      </c>
      <c r="T59" s="22">
        <f t="shared" si="25"/>
        <v>225.26388888888889</v>
      </c>
      <c r="U59" s="21">
        <v>16219</v>
      </c>
      <c r="V59" s="24">
        <f t="shared" si="26"/>
        <v>357.26870953819594</v>
      </c>
      <c r="W59" s="24">
        <v>5794541.2000000002</v>
      </c>
      <c r="X59" s="102">
        <v>75</v>
      </c>
      <c r="Y59" s="71">
        <f t="shared" si="27"/>
        <v>288.74666666666667</v>
      </c>
      <c r="Z59" s="102">
        <v>21656</v>
      </c>
      <c r="AA59" s="94">
        <f t="shared" si="28"/>
        <v>356.36279691540454</v>
      </c>
      <c r="AB59" s="94">
        <v>7717392.7300000004</v>
      </c>
      <c r="AC59" s="7">
        <f>'Factor D Back Up'!D906</f>
        <v>127</v>
      </c>
      <c r="AD59" s="8">
        <f>'Factor D Back Up'!E906</f>
        <v>168.09448818897638</v>
      </c>
      <c r="AE59" s="7">
        <f>'Factor D Back Up'!F906</f>
        <v>21348</v>
      </c>
      <c r="AF59" s="5">
        <f>'Factor D Back Up'!G906</f>
        <v>347.94088251826867</v>
      </c>
      <c r="AG59" s="5">
        <f>'Factor D Back Up'!H906</f>
        <v>7427841.96</v>
      </c>
      <c r="AH59" s="7">
        <f>'Factor D Back Up'!D907</f>
        <v>132</v>
      </c>
      <c r="AI59" s="7">
        <f>'Factor D Back Up'!E907</f>
        <v>150.09848484848484</v>
      </c>
      <c r="AJ59" s="7">
        <f>'Factor D Back Up'!F907</f>
        <v>19813</v>
      </c>
      <c r="AK59" s="7">
        <f>'Factor D Back Up'!G907</f>
        <v>351.34970272043608</v>
      </c>
      <c r="AL59" s="7">
        <f>'Factor D Back Up'!H907</f>
        <v>6961291.6600000001</v>
      </c>
      <c r="AM59" s="7">
        <f>'Factor D Back Up'!D908</f>
        <v>67</v>
      </c>
      <c r="AN59" s="7">
        <f>'Factor D Back Up'!E908</f>
        <v>292.41791044776119</v>
      </c>
      <c r="AO59" s="7">
        <f>'Factor D Back Up'!F908</f>
        <v>19592</v>
      </c>
      <c r="AP59" s="7">
        <f>'Factor D Back Up'!G908</f>
        <v>378.21249438546346</v>
      </c>
      <c r="AQ59" s="7">
        <f>'Factor D Back Up'!H908</f>
        <v>7409939.1900000004</v>
      </c>
      <c r="AR59" s="7">
        <f>'Factor D Back Up'!D909</f>
        <v>72</v>
      </c>
      <c r="AS59" s="7">
        <f>'Factor D Back Up'!E909</f>
        <v>249.54166666666666</v>
      </c>
      <c r="AT59" s="7">
        <f>'Factor D Back Up'!F909</f>
        <v>17967</v>
      </c>
      <c r="AU59" s="7">
        <f>'Factor D Back Up'!G909</f>
        <v>377.35501419268661</v>
      </c>
      <c r="AV59" s="7">
        <f>'Factor D Back Up'!H909</f>
        <v>6779937.54</v>
      </c>
      <c r="AW59" s="7">
        <f>'Factor D Back Up'!D910</f>
        <v>51</v>
      </c>
      <c r="AX59" s="7">
        <f>'Factor D Back Up'!E910</f>
        <v>227.00523649294223</v>
      </c>
      <c r="AY59" s="7">
        <f>'Factor D Back Up'!F910</f>
        <v>11577.267061140054</v>
      </c>
      <c r="AZ59" s="7">
        <f>'Factor D Back Up'!G910</f>
        <v>378.39</v>
      </c>
      <c r="BA59" s="7">
        <f>'Factor D Back Up'!H910</f>
        <v>4380722.0832647849</v>
      </c>
    </row>
    <row r="60" spans="1:53" x14ac:dyDescent="0.25">
      <c r="A60" s="110" t="s">
        <v>113</v>
      </c>
      <c r="B60" s="2" t="s">
        <v>138</v>
      </c>
      <c r="C60" s="2" t="s">
        <v>135</v>
      </c>
      <c r="D60" s="21">
        <v>28</v>
      </c>
      <c r="E60" s="22">
        <f t="shared" si="0"/>
        <v>85.321428571428569</v>
      </c>
      <c r="F60" s="21">
        <v>2389</v>
      </c>
      <c r="G60" s="25">
        <f t="shared" si="1"/>
        <v>439.61488070322321</v>
      </c>
      <c r="H60" s="274">
        <v>1050239.9500000002</v>
      </c>
      <c r="I60" s="21">
        <v>18</v>
      </c>
      <c r="J60" s="22">
        <f t="shared" si="6"/>
        <v>148.61111111111111</v>
      </c>
      <c r="K60" s="21">
        <v>2675</v>
      </c>
      <c r="L60" s="24">
        <f t="shared" si="2"/>
        <v>449.47768224299068</v>
      </c>
      <c r="M60" s="274">
        <v>1202352.8</v>
      </c>
      <c r="N60" s="21">
        <v>59</v>
      </c>
      <c r="O60" s="22">
        <f t="shared" si="18"/>
        <v>206.71186440677965</v>
      </c>
      <c r="P60" s="21">
        <v>12196</v>
      </c>
      <c r="Q60" s="24">
        <f t="shared" si="19"/>
        <v>443.04303050180386</v>
      </c>
      <c r="R60" s="274">
        <v>5403352.7999999998</v>
      </c>
      <c r="S60" s="21">
        <v>71</v>
      </c>
      <c r="T60" s="22">
        <f t="shared" si="25"/>
        <v>215.59154929577466</v>
      </c>
      <c r="U60" s="21">
        <v>15307</v>
      </c>
      <c r="V60" s="24">
        <f t="shared" si="26"/>
        <v>449.96959299666821</v>
      </c>
      <c r="W60" s="24">
        <v>6887684.5600000005</v>
      </c>
      <c r="X60" s="102">
        <v>110</v>
      </c>
      <c r="Y60" s="71">
        <f t="shared" si="27"/>
        <v>213.96363636363637</v>
      </c>
      <c r="Z60" s="102">
        <v>23536</v>
      </c>
      <c r="AA60" s="94">
        <f t="shared" si="28"/>
        <v>449.87753908905506</v>
      </c>
      <c r="AB60" s="94">
        <v>10588317.76</v>
      </c>
      <c r="AC60" s="7">
        <f>'Factor D Back Up'!D924</f>
        <v>176</v>
      </c>
      <c r="AD60" s="8">
        <f>'Factor D Back Up'!E924</f>
        <v>158.74431818181819</v>
      </c>
      <c r="AE60" s="7">
        <f>'Factor D Back Up'!F924</f>
        <v>27939</v>
      </c>
      <c r="AF60" s="5">
        <f>'Factor D Back Up'!G924</f>
        <v>402.68647983106052</v>
      </c>
      <c r="AG60" s="5">
        <f>'Factor D Back Up'!H924</f>
        <v>11250657.560000001</v>
      </c>
      <c r="AH60" s="7">
        <f>'Factor D Back Up'!D925</f>
        <v>203</v>
      </c>
      <c r="AI60" s="7">
        <f>'Factor D Back Up'!E925</f>
        <v>147.35467980295567</v>
      </c>
      <c r="AJ60" s="7">
        <f>'Factor D Back Up'!F925</f>
        <v>29913</v>
      </c>
      <c r="AK60" s="7">
        <f>'Factor D Back Up'!G925</f>
        <v>406.03166516230397</v>
      </c>
      <c r="AL60" s="7">
        <f>'Factor D Back Up'!H925</f>
        <v>12145625.199999999</v>
      </c>
      <c r="AM60" s="7">
        <f>'Factor D Back Up'!D926</f>
        <v>85</v>
      </c>
      <c r="AN60" s="7">
        <f>'Factor D Back Up'!E926</f>
        <v>273.42352941176472</v>
      </c>
      <c r="AO60" s="7">
        <f>'Factor D Back Up'!F926</f>
        <v>23241</v>
      </c>
      <c r="AP60" s="7">
        <f>'Factor D Back Up'!G926</f>
        <v>438.50432339400197</v>
      </c>
      <c r="AQ60" s="7">
        <f>'Factor D Back Up'!H926</f>
        <v>10191278.98</v>
      </c>
      <c r="AR60" s="7">
        <f>'Factor D Back Up'!D927</f>
        <v>85</v>
      </c>
      <c r="AS60" s="7">
        <f>'Factor D Back Up'!E927</f>
        <v>245.01176470588234</v>
      </c>
      <c r="AT60" s="7">
        <f>'Factor D Back Up'!F927</f>
        <v>20826</v>
      </c>
      <c r="AU60" s="7">
        <f>'Factor D Back Up'!G927</f>
        <v>431.77667915106116</v>
      </c>
      <c r="AV60" s="7">
        <f>'Factor D Back Up'!H927</f>
        <v>8992181.1199999992</v>
      </c>
      <c r="AW60" s="7">
        <f>'Factor D Back Up'!D928</f>
        <v>60</v>
      </c>
      <c r="AX60" s="7">
        <f>'Factor D Back Up'!E928</f>
        <v>258.22822366175762</v>
      </c>
      <c r="AY60" s="7">
        <f>'Factor D Back Up'!F928</f>
        <v>15493.693419705458</v>
      </c>
      <c r="AZ60" s="7">
        <f>'Factor D Back Up'!G928</f>
        <v>428.05</v>
      </c>
      <c r="BA60" s="7">
        <f>'Factor D Back Up'!H928</f>
        <v>6632075.4683049219</v>
      </c>
    </row>
    <row r="61" spans="1:53" x14ac:dyDescent="0.25">
      <c r="A61" s="110" t="s">
        <v>114</v>
      </c>
      <c r="B61" s="2" t="s">
        <v>138</v>
      </c>
      <c r="C61" s="2" t="s">
        <v>135</v>
      </c>
      <c r="D61" s="21">
        <v>50</v>
      </c>
      <c r="E61" s="22">
        <f t="shared" si="0"/>
        <v>244.68</v>
      </c>
      <c r="F61" s="21">
        <v>12234</v>
      </c>
      <c r="G61" s="25">
        <f t="shared" si="1"/>
        <v>261.97879843060326</v>
      </c>
      <c r="H61" s="274">
        <v>3205048.62</v>
      </c>
      <c r="I61" s="21">
        <v>39</v>
      </c>
      <c r="J61" s="22">
        <f t="shared" si="6"/>
        <v>266.4871794871795</v>
      </c>
      <c r="K61" s="21">
        <v>10393</v>
      </c>
      <c r="L61" s="24">
        <f t="shared" si="2"/>
        <v>262</v>
      </c>
      <c r="M61" s="274">
        <v>2722966</v>
      </c>
      <c r="N61" s="21">
        <v>39</v>
      </c>
      <c r="O61" s="22">
        <f t="shared" si="18"/>
        <v>243.61538461538461</v>
      </c>
      <c r="P61" s="21">
        <v>9501</v>
      </c>
      <c r="Q61" s="24">
        <f t="shared" si="19"/>
        <v>262</v>
      </c>
      <c r="R61" s="274">
        <v>2489262</v>
      </c>
      <c r="S61" s="21">
        <v>29</v>
      </c>
      <c r="T61" s="22">
        <f t="shared" si="25"/>
        <v>227.06896551724137</v>
      </c>
      <c r="U61" s="21">
        <v>6585</v>
      </c>
      <c r="V61" s="24">
        <f t="shared" si="26"/>
        <v>261.79018071374333</v>
      </c>
      <c r="W61" s="24">
        <v>1723888.3399999999</v>
      </c>
      <c r="X61" s="102">
        <v>32</v>
      </c>
      <c r="Y61" s="71">
        <f t="shared" si="27"/>
        <v>256.65625</v>
      </c>
      <c r="Z61" s="102">
        <v>8213</v>
      </c>
      <c r="AA61" s="94">
        <f t="shared" si="28"/>
        <v>261.5803287471083</v>
      </c>
      <c r="AB61" s="94">
        <v>2148359.2400000002</v>
      </c>
      <c r="AC61" s="7">
        <f>'Factor D Back Up'!D942</f>
        <v>63</v>
      </c>
      <c r="AD61" s="8">
        <f>'Factor D Back Up'!E942</f>
        <v>153.20634920634922</v>
      </c>
      <c r="AE61" s="7">
        <f>'Factor D Back Up'!F942</f>
        <v>9652</v>
      </c>
      <c r="AF61" s="5">
        <f>'Factor D Back Up'!G942</f>
        <v>289.20327393286368</v>
      </c>
      <c r="AG61" s="5">
        <f>'Factor D Back Up'!H942</f>
        <v>2791390</v>
      </c>
      <c r="AH61" s="7">
        <f>'Factor D Back Up'!D943</f>
        <v>52</v>
      </c>
      <c r="AI61" s="7">
        <f>'Factor D Back Up'!E943</f>
        <v>151.42307692307693</v>
      </c>
      <c r="AJ61" s="7">
        <f>'Factor D Back Up'!F943</f>
        <v>7874</v>
      </c>
      <c r="AK61" s="7">
        <f>'Factor D Back Up'!G943</f>
        <v>293.23800101600204</v>
      </c>
      <c r="AL61" s="7">
        <f>'Factor D Back Up'!H943</f>
        <v>2308956.02</v>
      </c>
      <c r="AM61" s="7">
        <f>'Factor D Back Up'!D944</f>
        <v>19</v>
      </c>
      <c r="AN61" s="7">
        <f>'Factor D Back Up'!E944</f>
        <v>247.31578947368422</v>
      </c>
      <c r="AO61" s="7">
        <f>'Factor D Back Up'!F944</f>
        <v>4699</v>
      </c>
      <c r="AP61" s="7">
        <f>'Factor D Back Up'!G944</f>
        <v>317.51352415407536</v>
      </c>
      <c r="AQ61" s="7">
        <f>'Factor D Back Up'!H944</f>
        <v>1491996.05</v>
      </c>
      <c r="AR61" s="7">
        <f>'Factor D Back Up'!D945</f>
        <v>12</v>
      </c>
      <c r="AS61" s="7">
        <f>'Factor D Back Up'!E945</f>
        <v>210.66666666666666</v>
      </c>
      <c r="AT61" s="7">
        <f>'Factor D Back Up'!F945</f>
        <v>2528</v>
      </c>
      <c r="AU61" s="7">
        <f>'Factor D Back Up'!G945</f>
        <v>318.11386075949366</v>
      </c>
      <c r="AV61" s="7">
        <f>'Factor D Back Up'!H945</f>
        <v>804191.84</v>
      </c>
      <c r="AW61" s="7">
        <f>'Factor D Back Up'!D946</f>
        <v>9</v>
      </c>
      <c r="AX61" s="7">
        <f>'Factor D Back Up'!E946</f>
        <v>184.49788361573451</v>
      </c>
      <c r="AY61" s="7">
        <f>'Factor D Back Up'!F946</f>
        <v>1660.4809525416106</v>
      </c>
      <c r="AZ61" s="7">
        <f>'Factor D Back Up'!G946</f>
        <v>317.87</v>
      </c>
      <c r="BA61" s="7">
        <f>'Factor D Back Up'!H946</f>
        <v>527817.08038440172</v>
      </c>
    </row>
    <row r="62" spans="1:53" x14ac:dyDescent="0.25">
      <c r="A62" s="110" t="s">
        <v>115</v>
      </c>
      <c r="B62" s="2" t="s">
        <v>138</v>
      </c>
      <c r="C62" s="2" t="s">
        <v>135</v>
      </c>
      <c r="D62" s="21">
        <v>89</v>
      </c>
      <c r="E62" s="22">
        <f t="shared" si="0"/>
        <v>219.38202247191012</v>
      </c>
      <c r="F62" s="21">
        <v>19525</v>
      </c>
      <c r="G62" s="25">
        <f t="shared" si="1"/>
        <v>321.9818294494238</v>
      </c>
      <c r="H62" s="274">
        <v>6286695.2199999997</v>
      </c>
      <c r="I62" s="21">
        <v>145</v>
      </c>
      <c r="J62" s="22">
        <f t="shared" si="6"/>
        <v>228.7103448275862</v>
      </c>
      <c r="K62" s="21">
        <v>33163</v>
      </c>
      <c r="L62" s="24">
        <f t="shared" si="2"/>
        <v>321.98269155384014</v>
      </c>
      <c r="M62" s="274">
        <v>10677912</v>
      </c>
      <c r="N62" s="21">
        <v>187</v>
      </c>
      <c r="O62" s="22">
        <f t="shared" si="18"/>
        <v>273.86631016042782</v>
      </c>
      <c r="P62" s="21">
        <v>51213</v>
      </c>
      <c r="Q62" s="24">
        <f t="shared" si="19"/>
        <v>321.85409798293404</v>
      </c>
      <c r="R62" s="274">
        <v>16483113.92</v>
      </c>
      <c r="S62" s="21">
        <v>219</v>
      </c>
      <c r="T62" s="22">
        <f t="shared" si="25"/>
        <v>259.71232876712327</v>
      </c>
      <c r="U62" s="21">
        <v>56877</v>
      </c>
      <c r="V62" s="24">
        <f t="shared" si="26"/>
        <v>321.76168187492306</v>
      </c>
      <c r="W62" s="24">
        <v>18300839.18</v>
      </c>
      <c r="X62" s="102">
        <v>238</v>
      </c>
      <c r="Y62" s="71">
        <f t="shared" si="27"/>
        <v>272.34453781512605</v>
      </c>
      <c r="Z62" s="102">
        <v>64818</v>
      </c>
      <c r="AA62" s="94">
        <f>AB62/Z62</f>
        <v>321.10255515443242</v>
      </c>
      <c r="AB62" s="94">
        <v>20813225.420000002</v>
      </c>
      <c r="AC62" s="7">
        <f>'Factor D Back Up'!D960</f>
        <v>391</v>
      </c>
      <c r="AD62" s="8">
        <f>'Factor D Back Up'!E960</f>
        <v>158.64194373401534</v>
      </c>
      <c r="AE62" s="7">
        <f>'Factor D Back Up'!F960</f>
        <v>62029</v>
      </c>
      <c r="AF62" s="5">
        <f>'Factor D Back Up'!G960</f>
        <v>317.96573941221044</v>
      </c>
      <c r="AG62" s="5">
        <f>'Factor D Back Up'!H960</f>
        <v>19723096.850000001</v>
      </c>
      <c r="AH62" s="7">
        <f>'Factor D Back Up'!D961</f>
        <v>391</v>
      </c>
      <c r="AI62" s="7">
        <f>'Factor D Back Up'!E961</f>
        <v>154.6010230179028</v>
      </c>
      <c r="AJ62" s="7">
        <f>'Factor D Back Up'!F961</f>
        <v>60449</v>
      </c>
      <c r="AK62" s="7">
        <f>'Factor D Back Up'!G961</f>
        <v>321.62280666346834</v>
      </c>
      <c r="AL62" s="7">
        <f>'Factor D Back Up'!H961</f>
        <v>19441777.039999999</v>
      </c>
      <c r="AM62" s="7">
        <f>'Factor D Back Up'!D962</f>
        <v>226</v>
      </c>
      <c r="AN62" s="7">
        <f>'Factor D Back Up'!E962</f>
        <v>258.07522123893807</v>
      </c>
      <c r="AO62" s="7">
        <f>'Factor D Back Up'!F962</f>
        <v>58325</v>
      </c>
      <c r="AP62" s="7">
        <f>'Factor D Back Up'!G962</f>
        <v>345.30476810972999</v>
      </c>
      <c r="AQ62" s="7">
        <f>'Factor D Back Up'!H962</f>
        <v>20139900.600000001</v>
      </c>
      <c r="AR62" s="7">
        <f>'Factor D Back Up'!D963</f>
        <v>214</v>
      </c>
      <c r="AS62" s="7">
        <f>'Factor D Back Up'!E963</f>
        <v>272.85981308411215</v>
      </c>
      <c r="AT62" s="7">
        <f>'Factor D Back Up'!F963</f>
        <v>58392</v>
      </c>
      <c r="AU62" s="7">
        <f>'Factor D Back Up'!G963</f>
        <v>339.32522194821206</v>
      </c>
      <c r="AV62" s="7">
        <f>'Factor D Back Up'!H963</f>
        <v>19813878.359999999</v>
      </c>
      <c r="AW62" s="7">
        <f>'Factor D Back Up'!D964</f>
        <v>150</v>
      </c>
      <c r="AX62" s="7">
        <f>'Factor D Back Up'!E964</f>
        <v>229.92645648009469</v>
      </c>
      <c r="AY62" s="7">
        <f>'Factor D Back Up'!F964</f>
        <v>34488.968472014203</v>
      </c>
      <c r="AZ62" s="7">
        <f>'Factor D Back Up'!G964</f>
        <v>330.71</v>
      </c>
      <c r="BA62" s="7">
        <f>'Factor D Back Up'!H964</f>
        <v>11405846.763379816</v>
      </c>
    </row>
    <row r="63" spans="1:53" x14ac:dyDescent="0.25">
      <c r="A63" s="110" t="s">
        <v>116</v>
      </c>
      <c r="B63" s="2" t="s">
        <v>138</v>
      </c>
      <c r="C63" s="2" t="s">
        <v>135</v>
      </c>
      <c r="D63" s="21">
        <v>13</v>
      </c>
      <c r="E63" s="22">
        <f t="shared" si="0"/>
        <v>162.92307692307693</v>
      </c>
      <c r="F63" s="21">
        <v>2118</v>
      </c>
      <c r="G63" s="25">
        <f t="shared" si="1"/>
        <v>382.23512747875355</v>
      </c>
      <c r="H63" s="274">
        <v>809574</v>
      </c>
      <c r="I63" s="21">
        <v>8</v>
      </c>
      <c r="J63" s="22">
        <f t="shared" si="6"/>
        <v>149.875</v>
      </c>
      <c r="K63" s="21">
        <v>1199</v>
      </c>
      <c r="L63" s="24">
        <f t="shared" si="2"/>
        <v>382.6947456213511</v>
      </c>
      <c r="M63" s="274">
        <v>458851</v>
      </c>
      <c r="N63" s="21">
        <v>8</v>
      </c>
      <c r="O63" s="22">
        <f t="shared" si="18"/>
        <v>231.375</v>
      </c>
      <c r="P63" s="21">
        <v>1851</v>
      </c>
      <c r="Q63" s="24">
        <f t="shared" si="19"/>
        <v>378.78545650999462</v>
      </c>
      <c r="R63" s="274">
        <v>701131.88</v>
      </c>
      <c r="S63" s="21">
        <v>7</v>
      </c>
      <c r="T63" s="22">
        <f t="shared" si="25"/>
        <v>216.14285714285714</v>
      </c>
      <c r="U63" s="21">
        <v>1513</v>
      </c>
      <c r="V63" s="24">
        <f t="shared" si="26"/>
        <v>377.29230667547921</v>
      </c>
      <c r="W63" s="24">
        <v>570843.26</v>
      </c>
      <c r="X63" s="102">
        <v>4</v>
      </c>
      <c r="Y63" s="71">
        <f t="shared" si="27"/>
        <v>356.75</v>
      </c>
      <c r="Z63" s="102">
        <v>1427</v>
      </c>
      <c r="AA63" s="94">
        <f t="shared" si="28"/>
        <v>376.6886895585144</v>
      </c>
      <c r="AB63" s="94">
        <v>537534.76</v>
      </c>
      <c r="AC63" s="7">
        <f>'Factor D Back Up'!D978</f>
        <v>20</v>
      </c>
      <c r="AD63" s="8">
        <f>'Factor D Back Up'!E978</f>
        <v>126.85</v>
      </c>
      <c r="AE63" s="7">
        <f>'Factor D Back Up'!F978</f>
        <v>2537</v>
      </c>
      <c r="AF63" s="5">
        <f>'Factor D Back Up'!G978</f>
        <v>376.76433582972015</v>
      </c>
      <c r="AG63" s="5">
        <f>'Factor D Back Up'!H978</f>
        <v>955851.12</v>
      </c>
      <c r="AH63" s="7">
        <f>'Factor D Back Up'!D979</f>
        <v>26</v>
      </c>
      <c r="AI63" s="7">
        <f>'Factor D Back Up'!E979</f>
        <v>152.53846153846155</v>
      </c>
      <c r="AJ63" s="7">
        <f>'Factor D Back Up'!F979</f>
        <v>3966</v>
      </c>
      <c r="AK63" s="7">
        <f>'Factor D Back Up'!G979</f>
        <v>380.71856782652549</v>
      </c>
      <c r="AL63" s="7">
        <f>'Factor D Back Up'!H979</f>
        <v>1509929.84</v>
      </c>
      <c r="AM63" s="7">
        <f>'Factor D Back Up'!D980</f>
        <v>7</v>
      </c>
      <c r="AN63" s="7">
        <f>'Factor D Back Up'!E980</f>
        <v>338.28571428571428</v>
      </c>
      <c r="AO63" s="7">
        <f>'Factor D Back Up'!F980</f>
        <v>2368</v>
      </c>
      <c r="AP63" s="7">
        <f>'Factor D Back Up'!G980</f>
        <v>410.36578547297302</v>
      </c>
      <c r="AQ63" s="7">
        <f>'Factor D Back Up'!H980</f>
        <v>971746.18</v>
      </c>
      <c r="AR63" s="7">
        <f>'Factor D Back Up'!D981</f>
        <v>8</v>
      </c>
      <c r="AS63" s="7">
        <f>'Factor D Back Up'!E981</f>
        <v>288.375</v>
      </c>
      <c r="AT63" s="7">
        <f>'Factor D Back Up'!F981</f>
        <v>2307</v>
      </c>
      <c r="AU63" s="7">
        <f>'Factor D Back Up'!G981</f>
        <v>398.91973125270914</v>
      </c>
      <c r="AV63" s="7">
        <f>'Factor D Back Up'!H981</f>
        <v>920307.82</v>
      </c>
      <c r="AW63" s="7">
        <f>'Factor D Back Up'!D982</f>
        <v>5</v>
      </c>
      <c r="AX63" s="7">
        <f>'Factor D Back Up'!E982</f>
        <v>293.1935515873015</v>
      </c>
      <c r="AY63" s="7">
        <f>'Factor D Back Up'!F982</f>
        <v>1465.9677579365075</v>
      </c>
      <c r="AZ63" s="7">
        <f>'Factor D Back Up'!G982</f>
        <v>395.12</v>
      </c>
      <c r="BA63" s="7">
        <f>'Factor D Back Up'!H982</f>
        <v>579233.1805158729</v>
      </c>
    </row>
    <row r="64" spans="1:53" x14ac:dyDescent="0.25">
      <c r="A64" s="110" t="s">
        <v>117</v>
      </c>
      <c r="B64" s="2" t="s">
        <v>138</v>
      </c>
      <c r="C64" s="2" t="s">
        <v>135</v>
      </c>
      <c r="D64" s="21">
        <v>41</v>
      </c>
      <c r="E64" s="22">
        <f t="shared" si="0"/>
        <v>249.85365853658536</v>
      </c>
      <c r="F64" s="21">
        <v>10244</v>
      </c>
      <c r="G64" s="25">
        <f t="shared" si="1"/>
        <v>442.21548613822722</v>
      </c>
      <c r="H64" s="274">
        <v>4530055.4399999995</v>
      </c>
      <c r="I64" s="21">
        <v>54</v>
      </c>
      <c r="J64" s="22">
        <f t="shared" si="6"/>
        <v>150.7037037037037</v>
      </c>
      <c r="K64" s="21">
        <v>8138</v>
      </c>
      <c r="L64" s="24">
        <f t="shared" si="2"/>
        <v>445.03098795772917</v>
      </c>
      <c r="M64" s="274">
        <v>3621662.18</v>
      </c>
      <c r="N64" s="21">
        <v>47</v>
      </c>
      <c r="O64" s="22">
        <f t="shared" si="18"/>
        <v>265.51063829787233</v>
      </c>
      <c r="P64" s="21">
        <v>12479</v>
      </c>
      <c r="Q64" s="24">
        <f t="shared" si="19"/>
        <v>442.92690439939099</v>
      </c>
      <c r="R64" s="274">
        <v>5527284.8399999999</v>
      </c>
      <c r="S64" s="21">
        <v>41</v>
      </c>
      <c r="T64" s="22">
        <f t="shared" si="25"/>
        <v>257.7560975609756</v>
      </c>
      <c r="U64" s="21">
        <v>10568</v>
      </c>
      <c r="V64" s="24">
        <f t="shared" si="26"/>
        <v>441.98144965934898</v>
      </c>
      <c r="W64" s="24">
        <v>4670859.96</v>
      </c>
      <c r="X64" s="102">
        <v>38</v>
      </c>
      <c r="Y64" s="71">
        <f t="shared" si="27"/>
        <v>291.60526315789474</v>
      </c>
      <c r="Z64" s="102">
        <v>11081</v>
      </c>
      <c r="AA64" s="94">
        <f t="shared" si="28"/>
        <v>440.00109286165514</v>
      </c>
      <c r="AB64" s="94">
        <v>4875652.1100000003</v>
      </c>
      <c r="AC64" s="7">
        <f>'Factor D Back Up'!D996</f>
        <v>56</v>
      </c>
      <c r="AD64" s="8">
        <f>'Factor D Back Up'!E996</f>
        <v>156.89285714285714</v>
      </c>
      <c r="AE64" s="7">
        <f>'Factor D Back Up'!F996</f>
        <v>8786</v>
      </c>
      <c r="AF64" s="5">
        <f>'Factor D Back Up'!G996</f>
        <v>454.59805372183018</v>
      </c>
      <c r="AG64" s="5">
        <f>'Factor D Back Up'!H996</f>
        <v>3994098.5</v>
      </c>
      <c r="AH64" s="7">
        <f>'Factor D Back Up'!D997</f>
        <v>49</v>
      </c>
      <c r="AI64" s="7">
        <f>'Factor D Back Up'!E997</f>
        <v>156.0408163265306</v>
      </c>
      <c r="AJ64" s="7">
        <f>'Factor D Back Up'!F997</f>
        <v>7646</v>
      </c>
      <c r="AK64" s="7">
        <f>'Factor D Back Up'!G997</f>
        <v>462.16476196704161</v>
      </c>
      <c r="AL64" s="7">
        <f>'Factor D Back Up'!H997</f>
        <v>3533711.77</v>
      </c>
      <c r="AM64" s="7">
        <f>'Factor D Back Up'!D998</f>
        <v>23</v>
      </c>
      <c r="AN64" s="7">
        <f>'Factor D Back Up'!E998</f>
        <v>330.86956521739131</v>
      </c>
      <c r="AO64" s="7">
        <f>'Factor D Back Up'!F998</f>
        <v>7610</v>
      </c>
      <c r="AP64" s="7">
        <f>'Factor D Back Up'!G998</f>
        <v>495.71000000000004</v>
      </c>
      <c r="AQ64" s="7">
        <f>'Factor D Back Up'!H998</f>
        <v>3772353.1</v>
      </c>
      <c r="AR64" s="7">
        <f>'Factor D Back Up'!D999</f>
        <v>26</v>
      </c>
      <c r="AS64" s="7">
        <f>'Factor D Back Up'!E999</f>
        <v>242.23076923076923</v>
      </c>
      <c r="AT64" s="7">
        <f>'Factor D Back Up'!F999</f>
        <v>6298</v>
      </c>
      <c r="AU64" s="7">
        <f>'Factor D Back Up'!G999</f>
        <v>463.01627183232773</v>
      </c>
      <c r="AV64" s="7">
        <f>'Factor D Back Up'!H999</f>
        <v>2916076.48</v>
      </c>
      <c r="AW64" s="7">
        <f>'Factor D Back Up'!D1000</f>
        <v>18</v>
      </c>
      <c r="AX64" s="7">
        <f>'Factor D Back Up'!E1000</f>
        <v>250.28809585634176</v>
      </c>
      <c r="AY64" s="7">
        <f>'Factor D Back Up'!F1000</f>
        <v>4505.1857254141514</v>
      </c>
      <c r="AZ64" s="7">
        <f>'Factor D Back Up'!G1000</f>
        <v>443.39</v>
      </c>
      <c r="BA64" s="7">
        <f>'Factor D Back Up'!H1000</f>
        <v>1997554.2987913806</v>
      </c>
    </row>
    <row r="65" spans="1:53" x14ac:dyDescent="0.25">
      <c r="A65" s="110" t="s">
        <v>118</v>
      </c>
      <c r="B65" s="2" t="s">
        <v>138</v>
      </c>
      <c r="C65" s="2" t="s">
        <v>135</v>
      </c>
      <c r="D65" s="21">
        <v>52</v>
      </c>
      <c r="E65" s="22">
        <f t="shared" si="0"/>
        <v>154.88461538461539</v>
      </c>
      <c r="F65" s="21">
        <v>8054</v>
      </c>
      <c r="G65" s="25">
        <f t="shared" si="1"/>
        <v>480.6093866401788</v>
      </c>
      <c r="H65" s="274">
        <v>3870828</v>
      </c>
      <c r="I65" s="21">
        <v>77</v>
      </c>
      <c r="J65" s="22">
        <f t="shared" si="6"/>
        <v>183.79220779220779</v>
      </c>
      <c r="K65" s="21">
        <v>14152</v>
      </c>
      <c r="L65" s="24">
        <f t="shared" si="2"/>
        <v>481.40531373657433</v>
      </c>
      <c r="M65" s="274">
        <v>6812848</v>
      </c>
      <c r="N65" s="21">
        <v>106</v>
      </c>
      <c r="O65" s="22">
        <f t="shared" si="18"/>
        <v>214.50943396226415</v>
      </c>
      <c r="P65" s="21">
        <v>22738</v>
      </c>
      <c r="Q65" s="24">
        <f t="shared" si="19"/>
        <v>477.33239203096139</v>
      </c>
      <c r="R65" s="274">
        <v>10853583.93</v>
      </c>
      <c r="S65" s="21">
        <v>111</v>
      </c>
      <c r="T65" s="22">
        <f t="shared" si="25"/>
        <v>215.85585585585585</v>
      </c>
      <c r="U65" s="21">
        <v>23960</v>
      </c>
      <c r="V65" s="24">
        <f t="shared" si="26"/>
        <v>476.25032637729549</v>
      </c>
      <c r="W65" s="24">
        <v>11410957.82</v>
      </c>
      <c r="X65" s="102">
        <v>139</v>
      </c>
      <c r="Y65" s="71">
        <f t="shared" si="27"/>
        <v>225.56115107913669</v>
      </c>
      <c r="Z65" s="102">
        <v>31353</v>
      </c>
      <c r="AA65" s="94">
        <f t="shared" si="28"/>
        <v>480.99344879277896</v>
      </c>
      <c r="AB65" s="94">
        <v>15080587.6</v>
      </c>
      <c r="AC65" s="7">
        <f>'Factor D Back Up'!D1014</f>
        <v>240</v>
      </c>
      <c r="AD65" s="8">
        <f>'Factor D Back Up'!E1014</f>
        <v>157.41249999999999</v>
      </c>
      <c r="AE65" s="7">
        <f>'Factor D Back Up'!F1014</f>
        <v>37779</v>
      </c>
      <c r="AF65" s="5">
        <f>'Factor D Back Up'!G1014</f>
        <v>489.42012890759418</v>
      </c>
      <c r="AG65" s="5">
        <f>'Factor D Back Up'!H1014</f>
        <v>18489803.050000001</v>
      </c>
      <c r="AH65" s="7">
        <f>'Factor D Back Up'!D1015</f>
        <v>257</v>
      </c>
      <c r="AI65" s="7">
        <f>'Factor D Back Up'!E1015</f>
        <v>136.33073929961088</v>
      </c>
      <c r="AJ65" s="7">
        <f>'Factor D Back Up'!F1015</f>
        <v>35037</v>
      </c>
      <c r="AK65" s="7">
        <f>'Factor D Back Up'!G1015</f>
        <v>495.17892513628448</v>
      </c>
      <c r="AL65" s="7">
        <f>'Factor D Back Up'!H1015</f>
        <v>17349584</v>
      </c>
      <c r="AM65" s="7">
        <f>'Factor D Back Up'!D1016</f>
        <v>105</v>
      </c>
      <c r="AN65" s="7">
        <f>'Factor D Back Up'!E1016</f>
        <v>246.57142857142858</v>
      </c>
      <c r="AO65" s="7">
        <f>'Factor D Back Up'!F1016</f>
        <v>25890</v>
      </c>
      <c r="AP65" s="7">
        <f>'Factor D Back Up'!G1016</f>
        <v>533.75589030513709</v>
      </c>
      <c r="AQ65" s="7">
        <f>'Factor D Back Up'!H1016</f>
        <v>13818940</v>
      </c>
      <c r="AR65" s="7">
        <f>'Factor D Back Up'!D1017</f>
        <v>110</v>
      </c>
      <c r="AS65" s="7">
        <f>'Factor D Back Up'!E1017</f>
        <v>229.57272727272726</v>
      </c>
      <c r="AT65" s="7">
        <f>'Factor D Back Up'!F1017</f>
        <v>25253</v>
      </c>
      <c r="AU65" s="7">
        <f>'Factor D Back Up'!G1017</f>
        <v>526.35566031758606</v>
      </c>
      <c r="AV65" s="7">
        <f>'Factor D Back Up'!H1017</f>
        <v>13292059.49</v>
      </c>
      <c r="AW65" s="7">
        <f>'Factor D Back Up'!D1018</f>
        <v>77</v>
      </c>
      <c r="AX65" s="7">
        <f>'Factor D Back Up'!E1018</f>
        <v>218.82465828783495</v>
      </c>
      <c r="AY65" s="7">
        <f>'Factor D Back Up'!F1018</f>
        <v>16849.49868816329</v>
      </c>
      <c r="AZ65" s="7">
        <f>'Factor D Back Up'!G1018</f>
        <v>519.15</v>
      </c>
      <c r="BA65" s="7">
        <f>'Factor D Back Up'!H1018</f>
        <v>8747417.2439599726</v>
      </c>
    </row>
    <row r="66" spans="1:53" x14ac:dyDescent="0.25">
      <c r="A66" s="110" t="s">
        <v>45</v>
      </c>
      <c r="B66" s="2" t="s">
        <v>138</v>
      </c>
      <c r="C66" s="2" t="s">
        <v>135</v>
      </c>
      <c r="D66" s="21">
        <v>9</v>
      </c>
      <c r="E66" s="22">
        <f t="shared" si="0"/>
        <v>160.11111111111111</v>
      </c>
      <c r="F66" s="21">
        <v>1441</v>
      </c>
      <c r="G66" s="25">
        <f t="shared" si="1"/>
        <v>403</v>
      </c>
      <c r="H66" s="274">
        <v>580723</v>
      </c>
      <c r="I66" s="21">
        <v>7</v>
      </c>
      <c r="J66" s="22">
        <f t="shared" si="6"/>
        <v>216.42857142857142</v>
      </c>
      <c r="K66" s="21">
        <v>1515</v>
      </c>
      <c r="L66" s="24">
        <f t="shared" si="2"/>
        <v>399.51485148514854</v>
      </c>
      <c r="M66" s="274">
        <v>605265</v>
      </c>
      <c r="N66" s="21">
        <v>9</v>
      </c>
      <c r="O66" s="22">
        <f t="shared" si="18"/>
        <v>152</v>
      </c>
      <c r="P66" s="21">
        <v>1368</v>
      </c>
      <c r="Q66" s="24">
        <f t="shared" si="19"/>
        <v>389.75818713450286</v>
      </c>
      <c r="R66" s="274">
        <v>533189.19999999995</v>
      </c>
      <c r="S66" s="21">
        <v>3</v>
      </c>
      <c r="T66" s="22">
        <f t="shared" si="25"/>
        <v>40</v>
      </c>
      <c r="U66" s="21">
        <v>120</v>
      </c>
      <c r="V66" s="24">
        <f t="shared" si="26"/>
        <v>355.60333333333335</v>
      </c>
      <c r="W66" s="24">
        <v>42672.4</v>
      </c>
      <c r="X66" s="102">
        <v>1</v>
      </c>
      <c r="Y66" s="71">
        <f t="shared" si="27"/>
        <v>58</v>
      </c>
      <c r="Z66" s="102">
        <v>58</v>
      </c>
      <c r="AA66" s="94">
        <f t="shared" si="28"/>
        <v>403</v>
      </c>
      <c r="AB66" s="94">
        <v>23374</v>
      </c>
      <c r="AC66" s="7">
        <f>'Factor D Back Up'!D1032</f>
        <v>0</v>
      </c>
      <c r="AD66" s="8">
        <f>'Factor D Back Up'!E1032</f>
        <v>0</v>
      </c>
      <c r="AE66" s="7">
        <f>'Factor D Back Up'!F1032</f>
        <v>0</v>
      </c>
      <c r="AF66" s="5" t="e">
        <f>'Factor D Back Up'!G1032</f>
        <v>#DIV/0!</v>
      </c>
      <c r="AG66" s="5">
        <f>'Factor D Back Up'!H1032</f>
        <v>0</v>
      </c>
      <c r="AH66" s="7">
        <f>'Factor D Back Up'!D1033</f>
        <v>1</v>
      </c>
      <c r="AI66" s="7">
        <f>'Factor D Back Up'!E1033</f>
        <v>12</v>
      </c>
      <c r="AJ66" s="7">
        <f>'Factor D Back Up'!F1033</f>
        <v>12</v>
      </c>
      <c r="AK66" s="7">
        <f>'Factor D Back Up'!G1033</f>
        <v>563.19999999999993</v>
      </c>
      <c r="AL66" s="7">
        <f>'Factor D Back Up'!H1033</f>
        <v>6758.4</v>
      </c>
      <c r="AM66" s="7">
        <f>'Factor D Back Up'!D1034</f>
        <v>2</v>
      </c>
      <c r="AN66" s="7">
        <f>'Factor D Back Up'!E1034</f>
        <v>169.5</v>
      </c>
      <c r="AO66" s="7">
        <f>'Factor D Back Up'!F1034</f>
        <v>339</v>
      </c>
      <c r="AP66" s="7">
        <f>'Factor D Back Up'!G1034</f>
        <v>554.89498525073748</v>
      </c>
      <c r="AQ66" s="7">
        <f>'Factor D Back Up'!H1034</f>
        <v>188109.4</v>
      </c>
      <c r="AR66" s="7">
        <f>'Factor D Back Up'!D1035</f>
        <v>1</v>
      </c>
      <c r="AS66" s="7">
        <f>'Factor D Back Up'!E1035</f>
        <v>226</v>
      </c>
      <c r="AT66" s="7">
        <f>'Factor D Back Up'!F1035</f>
        <v>226</v>
      </c>
      <c r="AU66" s="7">
        <f>'Factor D Back Up'!G1035</f>
        <v>570.74451327433621</v>
      </c>
      <c r="AV66" s="7">
        <f>'Factor D Back Up'!H1035</f>
        <v>128988.26</v>
      </c>
      <c r="AW66" s="7">
        <f>'Factor D Back Up'!D1036</f>
        <v>1</v>
      </c>
      <c r="AX66" s="7">
        <f>'Factor D Back Up'!E1036</f>
        <v>98.457451499118164</v>
      </c>
      <c r="AY66" s="7">
        <f>'Factor D Back Up'!F1036</f>
        <v>98.457451499118164</v>
      </c>
      <c r="AZ66" s="7">
        <f>'Factor D Back Up'!G1036</f>
        <v>612.46</v>
      </c>
      <c r="BA66" s="7">
        <f>'Factor D Back Up'!H1036</f>
        <v>60301.250745149911</v>
      </c>
    </row>
    <row r="67" spans="1:53" x14ac:dyDescent="0.25">
      <c r="A67" s="110" t="s">
        <v>119</v>
      </c>
      <c r="B67" s="2" t="s">
        <v>138</v>
      </c>
      <c r="C67" s="2" t="s">
        <v>135</v>
      </c>
      <c r="D67" s="21">
        <v>151</v>
      </c>
      <c r="E67" s="22">
        <f t="shared" si="0"/>
        <v>210.27152317880794</v>
      </c>
      <c r="F67" s="21">
        <v>31751</v>
      </c>
      <c r="G67" s="25">
        <f t="shared" si="1"/>
        <v>491.97091115240465</v>
      </c>
      <c r="H67" s="274">
        <v>15620568.4</v>
      </c>
      <c r="I67" s="21">
        <v>141</v>
      </c>
      <c r="J67" s="22">
        <f t="shared" si="6"/>
        <v>250.75886524822695</v>
      </c>
      <c r="K67" s="21">
        <v>35357</v>
      </c>
      <c r="L67" s="24">
        <f t="shared" si="2"/>
        <v>493.09678847187257</v>
      </c>
      <c r="M67" s="274">
        <v>17434423.149999999</v>
      </c>
      <c r="N67" s="21">
        <v>129</v>
      </c>
      <c r="O67" s="22">
        <f t="shared" si="18"/>
        <v>240.86821705426357</v>
      </c>
      <c r="P67" s="21">
        <v>31072</v>
      </c>
      <c r="Q67" s="24">
        <f t="shared" si="19"/>
        <v>492.40511360710605</v>
      </c>
      <c r="R67" s="274">
        <v>15300011.689999999</v>
      </c>
      <c r="S67" s="21">
        <v>100</v>
      </c>
      <c r="T67" s="22">
        <f t="shared" si="25"/>
        <v>202.62</v>
      </c>
      <c r="U67" s="21">
        <v>20262</v>
      </c>
      <c r="V67" s="24">
        <f t="shared" si="26"/>
        <v>497.08506218537161</v>
      </c>
      <c r="W67" s="24">
        <v>10071937.529999999</v>
      </c>
      <c r="X67" s="102">
        <v>53</v>
      </c>
      <c r="Y67" s="71">
        <f t="shared" si="27"/>
        <v>255.81132075471697</v>
      </c>
      <c r="Z67" s="102">
        <v>13558</v>
      </c>
      <c r="AA67" s="94">
        <f t="shared" si="28"/>
        <v>494.09615430004425</v>
      </c>
      <c r="AB67" s="94">
        <v>6698955.6600000001</v>
      </c>
      <c r="AC67" s="7">
        <f>'Factor D Back Up'!D1050</f>
        <v>90</v>
      </c>
      <c r="AD67" s="8">
        <f>'Factor D Back Up'!E1050</f>
        <v>157.96666666666667</v>
      </c>
      <c r="AE67" s="7">
        <f>'Factor D Back Up'!F1050</f>
        <v>14217</v>
      </c>
      <c r="AF67" s="5">
        <f>'Factor D Back Up'!G1050</f>
        <v>572.84731237251185</v>
      </c>
      <c r="AG67" s="5">
        <f>'Factor D Back Up'!H1050</f>
        <v>8144170.2400000002</v>
      </c>
      <c r="AH67" s="7">
        <f>'Factor D Back Up'!D1051</f>
        <v>94</v>
      </c>
      <c r="AI67" s="7">
        <f>'Factor D Back Up'!E1051</f>
        <v>142.39361702127658</v>
      </c>
      <c r="AJ67" s="7">
        <f>'Factor D Back Up'!F1051</f>
        <v>13385</v>
      </c>
      <c r="AK67" s="7">
        <f>'Factor D Back Up'!G1051</f>
        <v>579.4273343294733</v>
      </c>
      <c r="AL67" s="7">
        <f>'Factor D Back Up'!H1051</f>
        <v>7755634.8700000001</v>
      </c>
      <c r="AM67" s="7">
        <f>'Factor D Back Up'!D1052</f>
        <v>46</v>
      </c>
      <c r="AN67" s="7">
        <f>'Factor D Back Up'!E1052</f>
        <v>213.65217391304347</v>
      </c>
      <c r="AO67" s="7">
        <f>'Factor D Back Up'!F1052</f>
        <v>9828</v>
      </c>
      <c r="AP67" s="7">
        <f>'Factor D Back Up'!G1052</f>
        <v>618.726103988604</v>
      </c>
      <c r="AQ67" s="7">
        <f>'Factor D Back Up'!H1052</f>
        <v>6080840.1500000004</v>
      </c>
      <c r="AR67" s="7">
        <f>'Factor D Back Up'!D1053</f>
        <v>54</v>
      </c>
      <c r="AS67" s="7">
        <f>'Factor D Back Up'!E1053</f>
        <v>200.85185185185185</v>
      </c>
      <c r="AT67" s="7">
        <f>'Factor D Back Up'!F1053</f>
        <v>10846</v>
      </c>
      <c r="AU67" s="7">
        <f>'Factor D Back Up'!G1053</f>
        <v>624.15443020468376</v>
      </c>
      <c r="AV67" s="7">
        <f>'Factor D Back Up'!H1053</f>
        <v>6769578.9500000002</v>
      </c>
      <c r="AW67" s="7">
        <f>'Factor D Back Up'!D1054</f>
        <v>38</v>
      </c>
      <c r="AX67" s="7">
        <f>'Factor D Back Up'!E1054</f>
        <v>175.81952957270471</v>
      </c>
      <c r="AY67" s="7">
        <f>'Factor D Back Up'!F1054</f>
        <v>6681.1421237627792</v>
      </c>
      <c r="AZ67" s="7">
        <f>'Factor D Back Up'!G1054</f>
        <v>631.67999999999995</v>
      </c>
      <c r="BA67" s="7">
        <f>'Factor D Back Up'!H1054</f>
        <v>4220343.8567384724</v>
      </c>
    </row>
    <row r="68" spans="1:53" x14ac:dyDescent="0.25">
      <c r="A68" s="110" t="s">
        <v>120</v>
      </c>
      <c r="B68" s="2" t="s">
        <v>138</v>
      </c>
      <c r="C68" s="2" t="s">
        <v>135</v>
      </c>
      <c r="D68" s="21">
        <v>80</v>
      </c>
      <c r="E68" s="22">
        <f t="shared" si="0"/>
        <v>4427.2875000000004</v>
      </c>
      <c r="F68" s="21">
        <v>354183</v>
      </c>
      <c r="G68" s="25">
        <f t="shared" si="1"/>
        <v>5.5187205484170612</v>
      </c>
      <c r="H68" s="274">
        <v>1954637</v>
      </c>
      <c r="I68" s="21">
        <v>99</v>
      </c>
      <c r="J68" s="22">
        <f t="shared" si="6"/>
        <v>5112.6565656565654</v>
      </c>
      <c r="K68" s="21">
        <v>506153</v>
      </c>
      <c r="L68" s="24">
        <f t="shared" si="2"/>
        <v>5.5170659859765721</v>
      </c>
      <c r="M68" s="274">
        <v>2792479.5</v>
      </c>
      <c r="N68" s="21">
        <v>129</v>
      </c>
      <c r="O68" s="22">
        <f t="shared" si="18"/>
        <v>5904.7054263565888</v>
      </c>
      <c r="P68" s="21">
        <v>761707</v>
      </c>
      <c r="Q68" s="24">
        <f t="shared" si="19"/>
        <v>5.4834398265999917</v>
      </c>
      <c r="R68" s="274">
        <v>4176774.5</v>
      </c>
      <c r="S68" s="21">
        <v>189</v>
      </c>
      <c r="T68" s="22">
        <f t="shared" si="25"/>
        <v>7997.7724867724864</v>
      </c>
      <c r="U68" s="21">
        <v>1511579</v>
      </c>
      <c r="V68" s="24">
        <f t="shared" si="26"/>
        <v>5.4793979011351706</v>
      </c>
      <c r="W68" s="24">
        <v>8282542.7999999998</v>
      </c>
      <c r="X68" s="102">
        <v>299</v>
      </c>
      <c r="Y68" s="71">
        <f t="shared" si="27"/>
        <v>4991.6555183946484</v>
      </c>
      <c r="Z68" s="102">
        <v>1492505</v>
      </c>
      <c r="AA68" s="94">
        <f t="shared" si="28"/>
        <v>5.456922422370444</v>
      </c>
      <c r="AB68" s="94">
        <v>8144484</v>
      </c>
      <c r="AC68" s="7">
        <f>'Factor D Back Up'!D1068</f>
        <v>309</v>
      </c>
      <c r="AD68" s="8">
        <f>'Factor D Back Up'!E1068</f>
        <v>5657.1650485436894</v>
      </c>
      <c r="AE68" s="7">
        <f>'Factor D Back Up'!F1068</f>
        <v>1748064</v>
      </c>
      <c r="AF68" s="5">
        <f>'Factor D Back Up'!G1068</f>
        <v>5.4572324754700059</v>
      </c>
      <c r="AG68" s="5">
        <f>'Factor D Back Up'!H1068</f>
        <v>9539591.6300000008</v>
      </c>
      <c r="AH68" s="7">
        <f>'Factor D Back Up'!D1069</f>
        <v>302</v>
      </c>
      <c r="AI68" s="7">
        <f>'Factor D Back Up'!E1069</f>
        <v>5155.0264900662251</v>
      </c>
      <c r="AJ68" s="7">
        <f>'Factor D Back Up'!F1069</f>
        <v>1556818</v>
      </c>
      <c r="AK68" s="7">
        <f>'Factor D Back Up'!G1069</f>
        <v>5.4997457698973164</v>
      </c>
      <c r="AL68" s="7">
        <f>'Factor D Back Up'!H1069</f>
        <v>8562103.2100000009</v>
      </c>
      <c r="AM68" s="7" t="e">
        <f>'Factor D Back Up'!#REF!</f>
        <v>#REF!</v>
      </c>
      <c r="AN68" s="7">
        <f>'Factor D Back Up'!E1070</f>
        <v>9727.9057971014499</v>
      </c>
      <c r="AO68" s="7">
        <f>'Factor D Back Up'!F1070</f>
        <v>1342451</v>
      </c>
      <c r="AP68" s="7">
        <f>'Factor D Back Up'!G1070</f>
        <v>5.9150416439780669</v>
      </c>
      <c r="AQ68" s="7">
        <f>'Factor D Back Up'!H1070</f>
        <v>7940653.5700000003</v>
      </c>
      <c r="AR68" s="7" t="e">
        <f>'Factor D Back Up'!#REF!</f>
        <v>#REF!</v>
      </c>
      <c r="AS68" s="7">
        <f>'Factor D Back Up'!E1071</f>
        <v>9115.2406015037595</v>
      </c>
      <c r="AT68" s="7">
        <f>'Factor D Back Up'!F1071</f>
        <v>1212327</v>
      </c>
      <c r="AU68" s="7">
        <f>'Factor D Back Up'!G1071</f>
        <v>5.9613591712467011</v>
      </c>
      <c r="AV68" s="7">
        <f>'Factor D Back Up'!H1071</f>
        <v>7227116.6799999997</v>
      </c>
      <c r="AW68" s="7" t="e">
        <f>'Factor D Back Up'!#REF!</f>
        <v>#REF!</v>
      </c>
      <c r="AX68" s="7">
        <f>'Factor D Back Up'!E1072</f>
        <v>9516.2346030626068</v>
      </c>
      <c r="AY68" s="7">
        <f>'Factor D Back Up'!F1072</f>
        <v>885009.81808482239</v>
      </c>
      <c r="AZ68" s="7">
        <f>'Factor D Back Up'!G1072</f>
        <v>6.03</v>
      </c>
      <c r="BA68" s="7">
        <f>'Factor D Back Up'!H1072</f>
        <v>5336609.2030514795</v>
      </c>
    </row>
    <row r="69" spans="1:53" s="97" customFormat="1" x14ac:dyDescent="0.25">
      <c r="A69" s="100" t="s">
        <v>76</v>
      </c>
      <c r="B69" s="111"/>
      <c r="C69" s="111"/>
      <c r="D69" s="112"/>
      <c r="E69" s="99"/>
      <c r="F69" s="112"/>
      <c r="G69" s="113"/>
      <c r="H69" s="113"/>
      <c r="I69" s="112"/>
      <c r="J69" s="99"/>
      <c r="K69" s="112"/>
      <c r="L69" s="113"/>
      <c r="M69" s="113"/>
      <c r="N69" s="112"/>
      <c r="O69" s="99"/>
      <c r="P69" s="112"/>
      <c r="Q69" s="113"/>
      <c r="R69" s="113"/>
      <c r="S69" s="112"/>
      <c r="T69" s="99"/>
      <c r="U69" s="112"/>
      <c r="V69" s="113"/>
      <c r="W69" s="113"/>
      <c r="X69" s="114"/>
      <c r="Y69" s="99"/>
      <c r="Z69" s="114"/>
      <c r="AA69" s="115"/>
      <c r="AB69" s="115"/>
      <c r="AC69" s="112" t="e">
        <f>'Factor D Back Up'!#REF!</f>
        <v>#REF!</v>
      </c>
      <c r="AD69" s="99" t="e">
        <f>'Factor D Back Up'!#REF!</f>
        <v>#REF!</v>
      </c>
      <c r="AE69" s="112" t="e">
        <f>'Factor D Back Up'!#REF!</f>
        <v>#REF!</v>
      </c>
      <c r="AF69" s="113" t="e">
        <f>'Factor D Back Up'!#REF!</f>
        <v>#REF!</v>
      </c>
      <c r="AG69" s="113" t="e">
        <f>'Factor D Back Up'!#REF!</f>
        <v>#REF!</v>
      </c>
      <c r="AH69" s="112" t="e">
        <f>'Factor D Back Up'!#REF!</f>
        <v>#REF!</v>
      </c>
      <c r="AI69" s="112" t="e">
        <f>'Factor D Back Up'!#REF!</f>
        <v>#REF!</v>
      </c>
      <c r="AJ69" s="112" t="e">
        <f>'Factor D Back Up'!#REF!</f>
        <v>#REF!</v>
      </c>
      <c r="AK69" s="112" t="e">
        <f>'Factor D Back Up'!#REF!</f>
        <v>#REF!</v>
      </c>
      <c r="AL69" s="112" t="e">
        <f>'Factor D Back Up'!#REF!</f>
        <v>#REF!</v>
      </c>
      <c r="AM69" s="112" t="e">
        <f>'Factor D Back Up'!#REF!</f>
        <v>#REF!</v>
      </c>
      <c r="AN69" s="112" t="e">
        <f>'Factor D Back Up'!#REF!</f>
        <v>#REF!</v>
      </c>
      <c r="AO69" s="112" t="e">
        <f>'Factor D Back Up'!#REF!</f>
        <v>#REF!</v>
      </c>
      <c r="AP69" s="112" t="e">
        <f>'Factor D Back Up'!#REF!</f>
        <v>#REF!</v>
      </c>
      <c r="AQ69" s="112" t="e">
        <f>'Factor D Back Up'!#REF!</f>
        <v>#REF!</v>
      </c>
      <c r="AR69" s="112" t="e">
        <f>'Factor D Back Up'!#REF!</f>
        <v>#REF!</v>
      </c>
      <c r="AS69" s="112" t="e">
        <f>'Factor D Back Up'!#REF!</f>
        <v>#REF!</v>
      </c>
      <c r="AT69" s="112" t="e">
        <f>'Factor D Back Up'!#REF!</f>
        <v>#REF!</v>
      </c>
      <c r="AU69" s="112" t="e">
        <f>'Factor D Back Up'!#REF!</f>
        <v>#REF!</v>
      </c>
      <c r="AV69" s="112" t="e">
        <f>'Factor D Back Up'!#REF!</f>
        <v>#REF!</v>
      </c>
      <c r="AW69" s="112" t="e">
        <f>'Factor D Back Up'!#REF!</f>
        <v>#REF!</v>
      </c>
      <c r="AX69" s="112" t="e">
        <f>'Factor D Back Up'!#REF!</f>
        <v>#REF!</v>
      </c>
      <c r="AY69" s="112" t="e">
        <f>'Factor D Back Up'!#REF!</f>
        <v>#REF!</v>
      </c>
      <c r="AZ69" s="112" t="e">
        <f>'Factor D Back Up'!#REF!</f>
        <v>#REF!</v>
      </c>
      <c r="BA69" s="112" t="e">
        <f>'Factor D Back Up'!#REF!</f>
        <v>#REF!</v>
      </c>
    </row>
    <row r="70" spans="1:53" x14ac:dyDescent="0.25">
      <c r="A70" s="110" t="s">
        <v>121</v>
      </c>
      <c r="B70" s="2" t="s">
        <v>138</v>
      </c>
      <c r="C70" s="2" t="s">
        <v>135</v>
      </c>
      <c r="D70" s="21">
        <v>28</v>
      </c>
      <c r="E70" s="22">
        <f t="shared" si="0"/>
        <v>284.21428571428572</v>
      </c>
      <c r="F70" s="21">
        <v>7958</v>
      </c>
      <c r="G70" s="25">
        <f t="shared" si="1"/>
        <v>217</v>
      </c>
      <c r="H70" s="274">
        <v>1726886</v>
      </c>
      <c r="I70" s="21">
        <v>24</v>
      </c>
      <c r="J70" s="22">
        <f t="shared" si="6"/>
        <v>326.29166666666669</v>
      </c>
      <c r="K70" s="21">
        <v>7831</v>
      </c>
      <c r="L70" s="24">
        <f t="shared" si="2"/>
        <v>217</v>
      </c>
      <c r="M70" s="274">
        <v>1699327</v>
      </c>
      <c r="N70" s="21">
        <v>24</v>
      </c>
      <c r="O70" s="22">
        <f t="shared" si="18"/>
        <v>261.41666666666669</v>
      </c>
      <c r="P70" s="21">
        <v>6274</v>
      </c>
      <c r="Q70" s="24">
        <f t="shared" si="19"/>
        <v>217</v>
      </c>
      <c r="R70" s="274">
        <v>1361458</v>
      </c>
      <c r="S70" s="21">
        <v>23</v>
      </c>
      <c r="T70" s="22">
        <f t="shared" si="25"/>
        <v>224.30434782608697</v>
      </c>
      <c r="U70" s="21">
        <v>5159</v>
      </c>
      <c r="V70" s="24">
        <f t="shared" si="26"/>
        <v>217</v>
      </c>
      <c r="W70" s="24">
        <v>1119503</v>
      </c>
      <c r="X70" s="102">
        <v>15</v>
      </c>
      <c r="Y70" s="71">
        <f t="shared" si="27"/>
        <v>319.93333333333334</v>
      </c>
      <c r="Z70" s="102">
        <v>4799</v>
      </c>
      <c r="AA70" s="94">
        <f t="shared" si="28"/>
        <v>217</v>
      </c>
      <c r="AB70" s="94">
        <v>1041383</v>
      </c>
      <c r="AC70" s="7">
        <f>'Factor D Back Up'!D1086</f>
        <v>36</v>
      </c>
      <c r="AD70" s="8">
        <f>'Factor D Back Up'!E1086</f>
        <v>142.5</v>
      </c>
      <c r="AE70" s="7">
        <f>'Factor D Back Up'!F1086</f>
        <v>5130</v>
      </c>
      <c r="AF70" s="5">
        <f>'Factor D Back Up'!G1086</f>
        <v>227.33684210526314</v>
      </c>
      <c r="AG70" s="5">
        <f>'Factor D Back Up'!H1086</f>
        <v>1166238</v>
      </c>
      <c r="AH70" s="7">
        <f>'Factor D Back Up'!D1087</f>
        <v>27</v>
      </c>
      <c r="AI70" s="7">
        <f>'Factor D Back Up'!E1087</f>
        <v>122.70370370370371</v>
      </c>
      <c r="AJ70" s="7">
        <f>'Factor D Back Up'!F1087</f>
        <v>3313</v>
      </c>
      <c r="AK70" s="7">
        <f>'Factor D Back Up'!G1087</f>
        <v>228.91048596438273</v>
      </c>
      <c r="AL70" s="7">
        <f>'Factor D Back Up'!H1087</f>
        <v>758380.44</v>
      </c>
      <c r="AM70" s="7">
        <f>'Factor D Back Up'!D1088</f>
        <v>12</v>
      </c>
      <c r="AN70" s="7">
        <f>'Factor D Back Up'!E1088</f>
        <v>185.25</v>
      </c>
      <c r="AO70" s="7">
        <f>'Factor D Back Up'!F1088</f>
        <v>2223</v>
      </c>
      <c r="AP70" s="7">
        <f>'Factor D Back Up'!G1088</f>
        <v>241.44985155195681</v>
      </c>
      <c r="AQ70" s="7">
        <f>'Factor D Back Up'!H1088</f>
        <v>536743.02</v>
      </c>
      <c r="AR70" s="7">
        <f>'Factor D Back Up'!D1089</f>
        <v>17</v>
      </c>
      <c r="AS70" s="7">
        <f>'Factor D Back Up'!E1089</f>
        <v>186.88235294117646</v>
      </c>
      <c r="AT70" s="7">
        <f>'Factor D Back Up'!F1089</f>
        <v>3177</v>
      </c>
      <c r="AU70" s="7">
        <f>'Factor D Back Up'!G1089</f>
        <v>251.28224425558702</v>
      </c>
      <c r="AV70" s="7">
        <f>'Factor D Back Up'!H1089</f>
        <v>798323.69</v>
      </c>
      <c r="AW70" s="7">
        <f>'Factor D Back Up'!D1090</f>
        <v>14</v>
      </c>
      <c r="AX70" s="7">
        <f>'Factor D Back Up'!E1090</f>
        <v>130.33454609030949</v>
      </c>
      <c r="AY70" s="7">
        <f>'Factor D Back Up'!F1090</f>
        <v>1824.6836452643329</v>
      </c>
      <c r="AZ70" s="7">
        <f>'Factor D Back Up'!G1090</f>
        <v>268.70999999999998</v>
      </c>
      <c r="BA70" s="7">
        <f>'Factor D Back Up'!H1090</f>
        <v>490310.74231897882</v>
      </c>
    </row>
    <row r="71" spans="1:53" x14ac:dyDescent="0.25">
      <c r="A71" s="110" t="s">
        <v>122</v>
      </c>
      <c r="B71" s="2" t="s">
        <v>138</v>
      </c>
      <c r="C71" s="2" t="s">
        <v>135</v>
      </c>
      <c r="D71" s="21">
        <v>18</v>
      </c>
      <c r="E71" s="22">
        <f t="shared" si="0"/>
        <v>288.77777777777777</v>
      </c>
      <c r="F71" s="21">
        <v>5198</v>
      </c>
      <c r="G71" s="25">
        <f t="shared" si="1"/>
        <v>343.99923047325893</v>
      </c>
      <c r="H71" s="274">
        <v>1788108</v>
      </c>
      <c r="I71" s="21">
        <v>19</v>
      </c>
      <c r="J71" s="22">
        <f t="shared" si="6"/>
        <v>264.68421052631578</v>
      </c>
      <c r="K71" s="21">
        <v>5029</v>
      </c>
      <c r="L71" s="24">
        <f t="shared" si="2"/>
        <v>343.52596540067611</v>
      </c>
      <c r="M71" s="274">
        <v>1727592.08</v>
      </c>
      <c r="N71" s="21">
        <v>24</v>
      </c>
      <c r="O71" s="22">
        <f t="shared" si="18"/>
        <v>295.375</v>
      </c>
      <c r="P71" s="21">
        <v>7089</v>
      </c>
      <c r="Q71" s="24">
        <f t="shared" si="19"/>
        <v>344</v>
      </c>
      <c r="R71" s="274">
        <v>2438616</v>
      </c>
      <c r="S71" s="21">
        <v>26</v>
      </c>
      <c r="T71" s="22">
        <f t="shared" si="25"/>
        <v>253.42307692307693</v>
      </c>
      <c r="U71" s="21">
        <v>6589</v>
      </c>
      <c r="V71" s="24">
        <f t="shared" si="26"/>
        <v>344</v>
      </c>
      <c r="W71" s="24">
        <v>2266616</v>
      </c>
      <c r="X71" s="102">
        <v>26</v>
      </c>
      <c r="Y71" s="71">
        <f t="shared" si="27"/>
        <v>245.26923076923077</v>
      </c>
      <c r="Z71" s="102">
        <v>6377</v>
      </c>
      <c r="AA71" s="94">
        <f t="shared" si="28"/>
        <v>344</v>
      </c>
      <c r="AB71" s="94">
        <v>2193688</v>
      </c>
      <c r="AC71" s="7">
        <f>'Factor D Back Up'!D1104</f>
        <v>37</v>
      </c>
      <c r="AD71" s="8">
        <f>'Factor D Back Up'!E1104</f>
        <v>144.24324324324326</v>
      </c>
      <c r="AE71" s="7">
        <f>'Factor D Back Up'!F1104</f>
        <v>5337</v>
      </c>
      <c r="AF71" s="5">
        <f>'Factor D Back Up'!G1104</f>
        <v>359.94004122166012</v>
      </c>
      <c r="AG71" s="5">
        <f>'Factor D Back Up'!H1104</f>
        <v>1921000</v>
      </c>
      <c r="AH71" s="7">
        <f>'Factor D Back Up'!D1105</f>
        <v>36</v>
      </c>
      <c r="AI71" s="7">
        <f>'Factor D Back Up'!E1105</f>
        <v>167.77777777777777</v>
      </c>
      <c r="AJ71" s="7">
        <f>'Factor D Back Up'!F1105</f>
        <v>6040</v>
      </c>
      <c r="AK71" s="7">
        <f>'Factor D Back Up'!G1105</f>
        <v>363.92889900662249</v>
      </c>
      <c r="AL71" s="7">
        <f>'Factor D Back Up'!H1105</f>
        <v>2198130.5499999998</v>
      </c>
      <c r="AM71" s="7">
        <f>'Factor D Back Up'!D1106</f>
        <v>15</v>
      </c>
      <c r="AN71" s="7">
        <f>'Factor D Back Up'!E1106</f>
        <v>320.46666666666664</v>
      </c>
      <c r="AO71" s="7">
        <f>'Factor D Back Up'!F1106</f>
        <v>4807</v>
      </c>
      <c r="AP71" s="7">
        <f>'Factor D Back Up'!G1106</f>
        <v>390.23</v>
      </c>
      <c r="AQ71" s="7">
        <f>'Factor D Back Up'!H1106</f>
        <v>1875835.61</v>
      </c>
      <c r="AR71" s="7">
        <f>'Factor D Back Up'!D1107</f>
        <v>12</v>
      </c>
      <c r="AS71" s="7">
        <f>'Factor D Back Up'!E1107</f>
        <v>286</v>
      </c>
      <c r="AT71" s="7">
        <f>'Factor D Back Up'!F1107</f>
        <v>3432</v>
      </c>
      <c r="AU71" s="7">
        <f>'Factor D Back Up'!G1107</f>
        <v>385.47251748251745</v>
      </c>
      <c r="AV71" s="7">
        <f>'Factor D Back Up'!H1107</f>
        <v>1322941.68</v>
      </c>
      <c r="AW71" s="7">
        <f>'Factor D Back Up'!D1108</f>
        <v>11</v>
      </c>
      <c r="AX71" s="7">
        <f>'Factor D Back Up'!E1108</f>
        <v>234.52991525601169</v>
      </c>
      <c r="AY71" s="7">
        <f>'Factor D Back Up'!F1108</f>
        <v>2579.8290678161284</v>
      </c>
      <c r="AZ71" s="7">
        <f>'Factor D Back Up'!G1108</f>
        <v>377.58</v>
      </c>
      <c r="BA71" s="7">
        <f>'Factor D Back Up'!H1108</f>
        <v>974091.85942601366</v>
      </c>
    </row>
    <row r="72" spans="1:53" x14ac:dyDescent="0.25">
      <c r="A72" s="110" t="s">
        <v>123</v>
      </c>
      <c r="B72" s="2" t="s">
        <v>138</v>
      </c>
      <c r="C72" s="2" t="s">
        <v>135</v>
      </c>
      <c r="D72" s="21">
        <v>51</v>
      </c>
      <c r="E72" s="22">
        <f t="shared" ref="E72:E78" si="29">F72/D72</f>
        <v>183.52941176470588</v>
      </c>
      <c r="F72" s="21">
        <v>9360</v>
      </c>
      <c r="G72" s="25">
        <f t="shared" ref="G72:G78" si="30">H72/F72</f>
        <v>475.36581196581199</v>
      </c>
      <c r="H72" s="274">
        <v>4449424</v>
      </c>
      <c r="I72" s="21">
        <v>47</v>
      </c>
      <c r="J72" s="22">
        <f t="shared" si="6"/>
        <v>257.57446808510639</v>
      </c>
      <c r="K72" s="21">
        <v>12106</v>
      </c>
      <c r="L72" s="24">
        <f t="shared" ref="L72:L78" si="31">M72/K72</f>
        <v>470.47986452998509</v>
      </c>
      <c r="M72" s="274">
        <v>5695629.2399999993</v>
      </c>
      <c r="N72" s="21">
        <v>64</v>
      </c>
      <c r="O72" s="22">
        <f t="shared" si="18"/>
        <v>229.25</v>
      </c>
      <c r="P72" s="21">
        <v>14672</v>
      </c>
      <c r="Q72" s="24">
        <f t="shared" si="19"/>
        <v>474.15789258451468</v>
      </c>
      <c r="R72" s="274">
        <v>6956844.5999999996</v>
      </c>
      <c r="S72" s="21">
        <v>44</v>
      </c>
      <c r="T72" s="22">
        <f t="shared" si="25"/>
        <v>292</v>
      </c>
      <c r="U72" s="21">
        <v>12848</v>
      </c>
      <c r="V72" s="24">
        <f t="shared" si="26"/>
        <v>477.60281755915315</v>
      </c>
      <c r="W72" s="24">
        <v>6136241</v>
      </c>
      <c r="X72" s="102">
        <v>40</v>
      </c>
      <c r="Y72" s="71">
        <f t="shared" si="27"/>
        <v>236.95</v>
      </c>
      <c r="Z72" s="102">
        <v>9478</v>
      </c>
      <c r="AA72" s="94">
        <f t="shared" si="28"/>
        <v>483.19656045579234</v>
      </c>
      <c r="AB72" s="94">
        <v>4579737</v>
      </c>
      <c r="AC72" s="7">
        <f>'Factor D Back Up'!D1122</f>
        <v>59</v>
      </c>
      <c r="AD72" s="8">
        <f>'Factor D Back Up'!E1122</f>
        <v>154.01694915254237</v>
      </c>
      <c r="AE72" s="7">
        <f>'Factor D Back Up'!F1122</f>
        <v>9087</v>
      </c>
      <c r="AF72" s="5">
        <f>'Factor D Back Up'!G1122</f>
        <v>401.94794761747551</v>
      </c>
      <c r="AG72" s="5">
        <f>'Factor D Back Up'!H1122</f>
        <v>3652501</v>
      </c>
      <c r="AH72" s="7">
        <f>'Factor D Back Up'!D1123</f>
        <v>76</v>
      </c>
      <c r="AI72" s="7">
        <f>'Factor D Back Up'!E1123</f>
        <v>156.55263157894737</v>
      </c>
      <c r="AJ72" s="7">
        <f>'Factor D Back Up'!F1123</f>
        <v>11898</v>
      </c>
      <c r="AK72" s="7">
        <f>'Factor D Back Up'!G1123</f>
        <v>405.03189695747182</v>
      </c>
      <c r="AL72" s="7">
        <f>'Factor D Back Up'!H1123</f>
        <v>4819069.51</v>
      </c>
      <c r="AM72" s="7">
        <f>'Factor D Back Up'!D1124</f>
        <v>51</v>
      </c>
      <c r="AN72" s="7">
        <f>'Factor D Back Up'!E1124</f>
        <v>305</v>
      </c>
      <c r="AO72" s="7">
        <f>'Factor D Back Up'!F1124</f>
        <v>15555</v>
      </c>
      <c r="AP72" s="7">
        <f>'Factor D Back Up'!G1124</f>
        <v>434.26575249116041</v>
      </c>
      <c r="AQ72" s="7">
        <f>'Factor D Back Up'!H1124</f>
        <v>6755003.7800000003</v>
      </c>
      <c r="AR72" s="7">
        <f>'Factor D Back Up'!D1125</f>
        <v>51</v>
      </c>
      <c r="AS72" s="7">
        <f>'Factor D Back Up'!E1125</f>
        <v>279.96078431372547</v>
      </c>
      <c r="AT72" s="7">
        <f>'Factor D Back Up'!F1125</f>
        <v>14278</v>
      </c>
      <c r="AU72" s="7">
        <f>'Factor D Back Up'!G1125</f>
        <v>429.80807816220761</v>
      </c>
      <c r="AV72" s="7">
        <f>'Factor D Back Up'!H1125</f>
        <v>6136799.7400000002</v>
      </c>
      <c r="AW72" s="7">
        <f>'Factor D Back Up'!D1126</f>
        <v>46</v>
      </c>
      <c r="AX72" s="7">
        <f>'Factor D Back Up'!E1126</f>
        <v>253.21795105472393</v>
      </c>
      <c r="AY72" s="7">
        <f>'Factor D Back Up'!F1126</f>
        <v>11648.025748517301</v>
      </c>
      <c r="AZ72" s="7">
        <f>'Factor D Back Up'!G1126</f>
        <v>423.06</v>
      </c>
      <c r="BA72" s="7">
        <f>'Factor D Back Up'!H1126</f>
        <v>4927813.7731677294</v>
      </c>
    </row>
    <row r="73" spans="1:53" x14ac:dyDescent="0.25">
      <c r="A73" s="110" t="s">
        <v>124</v>
      </c>
      <c r="B73" s="2" t="s">
        <v>138</v>
      </c>
      <c r="C73" s="2" t="s">
        <v>135</v>
      </c>
      <c r="D73" s="21">
        <v>26</v>
      </c>
      <c r="E73" s="22">
        <f t="shared" si="29"/>
        <v>184.69230769230768</v>
      </c>
      <c r="F73" s="21">
        <v>4802</v>
      </c>
      <c r="G73" s="25">
        <f t="shared" si="30"/>
        <v>559.66159933361098</v>
      </c>
      <c r="H73" s="274">
        <v>2687495</v>
      </c>
      <c r="I73" s="21">
        <v>23</v>
      </c>
      <c r="J73" s="22">
        <f t="shared" si="6"/>
        <v>221.39130434782609</v>
      </c>
      <c r="K73" s="21">
        <v>5092</v>
      </c>
      <c r="L73" s="24">
        <f t="shared" si="31"/>
        <v>554.55239591516101</v>
      </c>
      <c r="M73" s="274">
        <v>2823780.8</v>
      </c>
      <c r="N73" s="46">
        <v>15</v>
      </c>
      <c r="O73" s="47">
        <f t="shared" si="18"/>
        <v>143.4</v>
      </c>
      <c r="P73" s="46">
        <v>2151</v>
      </c>
      <c r="Q73" s="48">
        <f t="shared" si="19"/>
        <v>459.59811715481175</v>
      </c>
      <c r="R73" s="274">
        <v>988595.55</v>
      </c>
      <c r="S73" s="46">
        <v>12</v>
      </c>
      <c r="T73" s="47">
        <f t="shared" si="25"/>
        <v>150.33333333333334</v>
      </c>
      <c r="U73" s="46">
        <v>1804</v>
      </c>
      <c r="V73" s="48">
        <f t="shared" si="26"/>
        <v>429.82601995565409</v>
      </c>
      <c r="W73" s="48">
        <v>775406.14</v>
      </c>
      <c r="X73" s="102">
        <v>10</v>
      </c>
      <c r="Y73" s="71">
        <f t="shared" si="27"/>
        <v>141</v>
      </c>
      <c r="Z73" s="102">
        <v>1410</v>
      </c>
      <c r="AA73" s="94">
        <f t="shared" si="28"/>
        <v>560.563829787234</v>
      </c>
      <c r="AB73" s="94">
        <v>790395</v>
      </c>
      <c r="AC73" s="7">
        <f>'Factor D Back Up'!D1140</f>
        <v>21</v>
      </c>
      <c r="AD73" s="8">
        <f>'Factor D Back Up'!E1140</f>
        <v>142.28571428571428</v>
      </c>
      <c r="AE73" s="7">
        <f>'Factor D Back Up'!F1140</f>
        <v>2988</v>
      </c>
      <c r="AF73" s="5">
        <f>'Factor D Back Up'!G1140</f>
        <v>494.82463186077644</v>
      </c>
      <c r="AG73" s="5">
        <f>'Factor D Back Up'!H1140</f>
        <v>1478536</v>
      </c>
      <c r="AH73" s="7">
        <f>'Factor D Back Up'!D1141</f>
        <v>26</v>
      </c>
      <c r="AI73" s="7">
        <f>'Factor D Back Up'!E1141</f>
        <v>137.15384615384616</v>
      </c>
      <c r="AJ73" s="7">
        <f>'Factor D Back Up'!F1141</f>
        <v>3566</v>
      </c>
      <c r="AK73" s="7">
        <f>'Factor D Back Up'!G1141</f>
        <v>495.91657038698821</v>
      </c>
      <c r="AL73" s="7">
        <f>'Factor D Back Up'!H1141</f>
        <v>1768438.49</v>
      </c>
      <c r="AM73" s="7">
        <f>'Factor D Back Up'!D1142</f>
        <v>10</v>
      </c>
      <c r="AN73" s="7">
        <f>'Factor D Back Up'!E1142</f>
        <v>313.7</v>
      </c>
      <c r="AO73" s="7">
        <f>'Factor D Back Up'!F1142</f>
        <v>3137</v>
      </c>
      <c r="AP73" s="7">
        <f>'Factor D Back Up'!G1142</f>
        <v>560.43047816385081</v>
      </c>
      <c r="AQ73" s="7">
        <f>'Factor D Back Up'!H1142</f>
        <v>1758070.41</v>
      </c>
      <c r="AR73" s="7">
        <f>'Factor D Back Up'!D1143</f>
        <v>15</v>
      </c>
      <c r="AS73" s="7">
        <f>'Factor D Back Up'!E1143</f>
        <v>223.53333333333333</v>
      </c>
      <c r="AT73" s="7">
        <f>'Factor D Back Up'!F1143</f>
        <v>3353</v>
      </c>
      <c r="AU73" s="7">
        <f>'Factor D Back Up'!G1143</f>
        <v>541.32469728601257</v>
      </c>
      <c r="AV73" s="7">
        <f>'Factor D Back Up'!H1143</f>
        <v>1815061.71</v>
      </c>
      <c r="AW73" s="7">
        <f>'Factor D Back Up'!D1144</f>
        <v>12</v>
      </c>
      <c r="AX73" s="7">
        <f>'Factor D Back Up'!E1144</f>
        <v>220.05830649490071</v>
      </c>
      <c r="AY73" s="7">
        <f>'Factor D Back Up'!F1144</f>
        <v>2640.6996779388082</v>
      </c>
      <c r="AZ73" s="7">
        <f>'Factor D Back Up'!G1144</f>
        <v>514.51</v>
      </c>
      <c r="BA73" s="7">
        <f>'Factor D Back Up'!H1144</f>
        <v>1358666.3912962961</v>
      </c>
    </row>
    <row r="74" spans="1:53" x14ac:dyDescent="0.25">
      <c r="A74" s="110" t="s">
        <v>125</v>
      </c>
      <c r="B74" s="2" t="s">
        <v>138</v>
      </c>
      <c r="C74" s="2" t="s">
        <v>135</v>
      </c>
      <c r="D74" s="21">
        <v>27</v>
      </c>
      <c r="E74" s="22">
        <f t="shared" si="29"/>
        <v>310.88888888888891</v>
      </c>
      <c r="F74" s="21">
        <v>8394</v>
      </c>
      <c r="G74" s="25">
        <f t="shared" si="30"/>
        <v>272</v>
      </c>
      <c r="H74" s="274">
        <v>2283168</v>
      </c>
      <c r="I74" s="21">
        <v>34</v>
      </c>
      <c r="J74" s="22">
        <f t="shared" ref="J74:J78" si="32">K74/I74</f>
        <v>306.94117647058823</v>
      </c>
      <c r="K74" s="21">
        <v>10436</v>
      </c>
      <c r="L74" s="24">
        <f t="shared" si="31"/>
        <v>272.39095438865468</v>
      </c>
      <c r="M74" s="274">
        <v>2842672</v>
      </c>
      <c r="N74" s="21">
        <v>46</v>
      </c>
      <c r="O74" s="22">
        <f t="shared" si="18"/>
        <v>295.73913043478262</v>
      </c>
      <c r="P74" s="21">
        <v>13604</v>
      </c>
      <c r="Q74" s="24">
        <f t="shared" si="19"/>
        <v>272</v>
      </c>
      <c r="R74" s="274">
        <v>3700288</v>
      </c>
      <c r="S74" s="21">
        <v>61</v>
      </c>
      <c r="T74" s="22">
        <f t="shared" si="25"/>
        <v>241.98360655737704</v>
      </c>
      <c r="U74" s="21">
        <v>14761</v>
      </c>
      <c r="V74" s="24">
        <f t="shared" si="26"/>
        <v>271.99986450782467</v>
      </c>
      <c r="W74" s="24">
        <v>4014990</v>
      </c>
      <c r="X74" s="102">
        <v>52</v>
      </c>
      <c r="Y74" s="71">
        <f t="shared" si="27"/>
        <v>307.86538461538464</v>
      </c>
      <c r="Z74" s="102">
        <v>16009</v>
      </c>
      <c r="AA74" s="94">
        <f t="shared" si="28"/>
        <v>272</v>
      </c>
      <c r="AB74" s="94">
        <v>4354448</v>
      </c>
      <c r="AC74" s="7">
        <f>'Factor D Back Up'!D1158</f>
        <v>94</v>
      </c>
      <c r="AD74" s="8">
        <f>'Factor D Back Up'!E1158</f>
        <v>156.97872340425531</v>
      </c>
      <c r="AE74" s="7">
        <f>'Factor D Back Up'!F1158</f>
        <v>14756</v>
      </c>
      <c r="AF74" s="5">
        <f>'Factor D Back Up'!G1158</f>
        <v>280.42653835727839</v>
      </c>
      <c r="AG74" s="5">
        <f>'Factor D Back Up'!H1158</f>
        <v>4137974</v>
      </c>
      <c r="AH74" s="7">
        <f>'Factor D Back Up'!D1159</f>
        <v>86</v>
      </c>
      <c r="AI74" s="7">
        <f>'Factor D Back Up'!E1159</f>
        <v>180.90697674418604</v>
      </c>
      <c r="AJ74" s="7">
        <f>'Factor D Back Up'!F1159</f>
        <v>15558</v>
      </c>
      <c r="AK74" s="7">
        <f>'Factor D Back Up'!G1159</f>
        <v>284.11591142820413</v>
      </c>
      <c r="AL74" s="7">
        <f>'Factor D Back Up'!H1159</f>
        <v>4420275.3499999996</v>
      </c>
      <c r="AM74" s="7">
        <f>'Factor D Back Up'!D1160</f>
        <v>42</v>
      </c>
      <c r="AN74" s="7">
        <f>'Factor D Back Up'!E1160</f>
        <v>250.0952380952381</v>
      </c>
      <c r="AO74" s="7">
        <f>'Factor D Back Up'!F1160</f>
        <v>10504</v>
      </c>
      <c r="AP74" s="7">
        <f>'Factor D Back Up'!G1160</f>
        <v>301.55531226199543</v>
      </c>
      <c r="AQ74" s="7">
        <f>'Factor D Back Up'!H1160</f>
        <v>3167537</v>
      </c>
      <c r="AR74" s="7">
        <f>'Factor D Back Up'!D1161</f>
        <v>24</v>
      </c>
      <c r="AS74" s="7">
        <f>'Factor D Back Up'!E1161</f>
        <v>225.16666666666666</v>
      </c>
      <c r="AT74" s="7">
        <f>'Factor D Back Up'!F1161</f>
        <v>5404</v>
      </c>
      <c r="AU74" s="7">
        <f>'Factor D Back Up'!G1161</f>
        <v>298.8636528497409</v>
      </c>
      <c r="AV74" s="7">
        <f>'Factor D Back Up'!H1161</f>
        <v>1615059.18</v>
      </c>
      <c r="AW74" s="7">
        <f>'Factor D Back Up'!D1162</f>
        <v>19</v>
      </c>
      <c r="AX74" s="7">
        <f>'Factor D Back Up'!E1162</f>
        <v>184.00076368174948</v>
      </c>
      <c r="AY74" s="7">
        <f>'Factor D Back Up'!F1162</f>
        <v>3496.0145099532401</v>
      </c>
      <c r="AZ74" s="7">
        <f>'Factor D Back Up'!G1162</f>
        <v>291.23</v>
      </c>
      <c r="BA74" s="7">
        <f>'Factor D Back Up'!H1162</f>
        <v>1018144.3057336822</v>
      </c>
    </row>
    <row r="75" spans="1:53" x14ac:dyDescent="0.25">
      <c r="A75" s="110" t="s">
        <v>126</v>
      </c>
      <c r="B75" s="2" t="s">
        <v>138</v>
      </c>
      <c r="C75" s="2" t="s">
        <v>135</v>
      </c>
      <c r="D75" s="21">
        <v>39</v>
      </c>
      <c r="E75" s="22">
        <f t="shared" si="29"/>
        <v>228.87179487179486</v>
      </c>
      <c r="F75" s="21">
        <v>8926</v>
      </c>
      <c r="G75" s="25">
        <f t="shared" si="30"/>
        <v>366.80958323997311</v>
      </c>
      <c r="H75" s="274">
        <v>3274142.34</v>
      </c>
      <c r="I75" s="21">
        <v>41</v>
      </c>
      <c r="J75" s="22">
        <f t="shared" si="32"/>
        <v>270.2439024390244</v>
      </c>
      <c r="K75" s="21">
        <v>11080</v>
      </c>
      <c r="L75" s="24">
        <f t="shared" si="31"/>
        <v>366.83892960288807</v>
      </c>
      <c r="M75" s="274">
        <v>4064575.34</v>
      </c>
      <c r="N75" s="21">
        <v>43</v>
      </c>
      <c r="O75" s="22">
        <f t="shared" si="18"/>
        <v>245.09302325581396</v>
      </c>
      <c r="P75" s="21">
        <v>10539</v>
      </c>
      <c r="Q75" s="24">
        <f t="shared" si="19"/>
        <v>366.60280861561819</v>
      </c>
      <c r="R75" s="274">
        <v>3863627</v>
      </c>
      <c r="S75" s="21">
        <v>39</v>
      </c>
      <c r="T75" s="22">
        <f t="shared" si="25"/>
        <v>227.89743589743588</v>
      </c>
      <c r="U75" s="21">
        <v>8888</v>
      </c>
      <c r="V75" s="24">
        <f t="shared" si="26"/>
        <v>366.98931143114311</v>
      </c>
      <c r="W75" s="24">
        <v>3261801</v>
      </c>
      <c r="X75" s="102">
        <v>31</v>
      </c>
      <c r="Y75" s="71">
        <f t="shared" si="27"/>
        <v>325.54838709677421</v>
      </c>
      <c r="Z75" s="102">
        <v>10092</v>
      </c>
      <c r="AA75" s="94">
        <f t="shared" si="28"/>
        <v>366.92320650019821</v>
      </c>
      <c r="AB75" s="94">
        <v>3702989</v>
      </c>
      <c r="AC75" s="7">
        <f>'Factor D Back Up'!D1176</f>
        <v>49</v>
      </c>
      <c r="AD75" s="8">
        <f>'Factor D Back Up'!E1176</f>
        <v>151.65306122448979</v>
      </c>
      <c r="AE75" s="7">
        <f>'Factor D Back Up'!F1176</f>
        <v>7431</v>
      </c>
      <c r="AF75" s="5">
        <f>'Factor D Back Up'!G1176</f>
        <v>322</v>
      </c>
      <c r="AG75" s="5">
        <f>'Factor D Back Up'!H1176</f>
        <v>2392782</v>
      </c>
      <c r="AH75" s="7">
        <f>'Factor D Back Up'!D1177</f>
        <v>26</v>
      </c>
      <c r="AI75" s="7">
        <f>'Factor D Back Up'!E1177</f>
        <v>156.65384615384616</v>
      </c>
      <c r="AJ75" s="7">
        <f>'Factor D Back Up'!F1177</f>
        <v>4073</v>
      </c>
      <c r="AK75" s="7">
        <f>'Factor D Back Up'!G1177</f>
        <v>324.60370243064079</v>
      </c>
      <c r="AL75" s="7">
        <f>'Factor D Back Up'!H1177</f>
        <v>1322110.8799999999</v>
      </c>
      <c r="AM75" s="7">
        <f>'Factor D Back Up'!D1178</f>
        <v>22</v>
      </c>
      <c r="AN75" s="7">
        <f>'Factor D Back Up'!E1178</f>
        <v>203.13636363636363</v>
      </c>
      <c r="AO75" s="7">
        <f>'Factor D Back Up'!F1178</f>
        <v>4469</v>
      </c>
      <c r="AP75" s="7">
        <f>'Factor D Back Up'!G1178</f>
        <v>348.78000000000003</v>
      </c>
      <c r="AQ75" s="7">
        <f>'Factor D Back Up'!H1178</f>
        <v>1558697.82</v>
      </c>
      <c r="AR75" s="7">
        <f>'Factor D Back Up'!D1179</f>
        <v>21</v>
      </c>
      <c r="AS75" s="7">
        <f>'Factor D Back Up'!E1179</f>
        <v>258.28571428571428</v>
      </c>
      <c r="AT75" s="7">
        <f>'Factor D Back Up'!F1179</f>
        <v>5424</v>
      </c>
      <c r="AU75" s="7">
        <f>'Factor D Back Up'!G1179</f>
        <v>352.88751843657815</v>
      </c>
      <c r="AV75" s="7">
        <f>'Factor D Back Up'!H1179</f>
        <v>1914061.9</v>
      </c>
      <c r="AW75" s="7">
        <f>'Factor D Back Up'!D1180</f>
        <v>21</v>
      </c>
      <c r="AX75" s="7">
        <f>'Factor D Back Up'!E1180</f>
        <v>201.51534316887188</v>
      </c>
      <c r="AY75" s="7">
        <f>'Factor D Back Up'!F1180</f>
        <v>4231.8222065463096</v>
      </c>
      <c r="AZ75" s="7">
        <f>'Factor D Back Up'!G1180</f>
        <v>359.87</v>
      </c>
      <c r="BA75" s="7">
        <f>'Factor D Back Up'!H1180</f>
        <v>1522905.8574698204</v>
      </c>
    </row>
    <row r="76" spans="1:53" x14ac:dyDescent="0.25">
      <c r="A76" s="110" t="s">
        <v>127</v>
      </c>
      <c r="B76" s="2" t="s">
        <v>138</v>
      </c>
      <c r="C76" s="2" t="s">
        <v>135</v>
      </c>
      <c r="D76" s="21">
        <v>27</v>
      </c>
      <c r="E76" s="22">
        <f t="shared" si="29"/>
        <v>176.85185185185185</v>
      </c>
      <c r="F76" s="21">
        <v>4775</v>
      </c>
      <c r="G76" s="25">
        <f t="shared" si="30"/>
        <v>443.6568041884816</v>
      </c>
      <c r="H76" s="274">
        <v>2118461.2399999998</v>
      </c>
      <c r="I76" s="21">
        <v>22</v>
      </c>
      <c r="J76" s="22">
        <f t="shared" si="32"/>
        <v>230</v>
      </c>
      <c r="K76" s="21">
        <v>5060</v>
      </c>
      <c r="L76" s="24">
        <f t="shared" si="31"/>
        <v>445.49169960474308</v>
      </c>
      <c r="M76" s="274">
        <v>2254188</v>
      </c>
      <c r="N76" s="21">
        <v>29</v>
      </c>
      <c r="O76" s="22">
        <f t="shared" si="18"/>
        <v>266.79310344827587</v>
      </c>
      <c r="P76" s="21">
        <v>7737</v>
      </c>
      <c r="Q76" s="24">
        <f t="shared" si="19"/>
        <v>444</v>
      </c>
      <c r="R76" s="274">
        <v>3435228</v>
      </c>
      <c r="S76" s="21">
        <v>26</v>
      </c>
      <c r="T76" s="22">
        <f t="shared" si="25"/>
        <v>242.15384615384616</v>
      </c>
      <c r="U76" s="21">
        <v>6296</v>
      </c>
      <c r="V76" s="24">
        <f t="shared" si="26"/>
        <v>443.99841168996187</v>
      </c>
      <c r="W76" s="24">
        <v>2795414</v>
      </c>
      <c r="X76" s="102">
        <v>23</v>
      </c>
      <c r="Y76" s="71">
        <f t="shared" si="27"/>
        <v>254.17391304347825</v>
      </c>
      <c r="Z76" s="102">
        <v>5846</v>
      </c>
      <c r="AA76" s="94">
        <f t="shared" si="28"/>
        <v>444</v>
      </c>
      <c r="AB76" s="94">
        <v>2595624</v>
      </c>
      <c r="AC76" s="7">
        <f>'Factor D Back Up'!D1194</f>
        <v>35</v>
      </c>
      <c r="AD76" s="8">
        <f>'Factor D Back Up'!E1194</f>
        <v>168.71428571428572</v>
      </c>
      <c r="AE76" s="7">
        <f>'Factor D Back Up'!F1194</f>
        <v>5905</v>
      </c>
      <c r="AF76" s="5">
        <f>'Factor D Back Up'!G1194</f>
        <v>379.92650296359017</v>
      </c>
      <c r="AG76" s="5">
        <f>'Factor D Back Up'!H1194</f>
        <v>2243466</v>
      </c>
      <c r="AH76" s="7">
        <f>'Factor D Back Up'!D1195</f>
        <v>29</v>
      </c>
      <c r="AI76" s="7">
        <f>'Factor D Back Up'!E1195</f>
        <v>146.75862068965517</v>
      </c>
      <c r="AJ76" s="7">
        <f>'Factor D Back Up'!F1195</f>
        <v>4256</v>
      </c>
      <c r="AK76" s="7">
        <f>'Factor D Back Up'!G1195</f>
        <v>381.46263157894737</v>
      </c>
      <c r="AL76" s="7">
        <f>'Factor D Back Up'!H1195</f>
        <v>1623504.96</v>
      </c>
      <c r="AM76" s="7">
        <f>'Factor D Back Up'!D1196</f>
        <v>22</v>
      </c>
      <c r="AN76" s="7">
        <f>'Factor D Back Up'!E1196</f>
        <v>240.63636363636363</v>
      </c>
      <c r="AO76" s="7">
        <f>'Factor D Back Up'!F1196</f>
        <v>5294</v>
      </c>
      <c r="AP76" s="7">
        <f>'Factor D Back Up'!G1196</f>
        <v>411.44649036645262</v>
      </c>
      <c r="AQ76" s="7">
        <f>'Factor D Back Up'!H1196</f>
        <v>2178197.7200000002</v>
      </c>
      <c r="AR76" s="7">
        <f>'Factor D Back Up'!D1197</f>
        <v>26</v>
      </c>
      <c r="AS76" s="7">
        <f>'Factor D Back Up'!E1197</f>
        <v>217.73076923076923</v>
      </c>
      <c r="AT76" s="7">
        <f>'Factor D Back Up'!F1197</f>
        <v>5661</v>
      </c>
      <c r="AU76" s="7">
        <f>'Factor D Back Up'!G1197</f>
        <v>406.80683978095743</v>
      </c>
      <c r="AV76" s="7">
        <f>'Factor D Back Up'!H1197</f>
        <v>2302933.52</v>
      </c>
      <c r="AW76" s="7">
        <f>'Factor D Back Up'!D1198</f>
        <v>25</v>
      </c>
      <c r="AX76" s="7">
        <f>'Factor D Back Up'!E1198</f>
        <v>206.13888106883277</v>
      </c>
      <c r="AY76" s="7">
        <f>'Factor D Back Up'!F1198</f>
        <v>5153.4720267208195</v>
      </c>
      <c r="AZ76" s="7">
        <f>'Factor D Back Up'!G1198</f>
        <v>400.79</v>
      </c>
      <c r="BA76" s="7">
        <f>'Factor D Back Up'!H1198</f>
        <v>2065460.0535894374</v>
      </c>
    </row>
    <row r="77" spans="1:53" x14ac:dyDescent="0.25">
      <c r="A77" s="110" t="s">
        <v>128</v>
      </c>
      <c r="B77" s="2" t="s">
        <v>138</v>
      </c>
      <c r="C77" s="2" t="s">
        <v>135</v>
      </c>
      <c r="D77" s="21">
        <v>12</v>
      </c>
      <c r="E77" s="22">
        <f t="shared" si="29"/>
        <v>147.5</v>
      </c>
      <c r="F77" s="21">
        <v>1770</v>
      </c>
      <c r="G77" s="25">
        <f t="shared" si="30"/>
        <v>501.23107344632768</v>
      </c>
      <c r="H77" s="274">
        <v>887179</v>
      </c>
      <c r="I77" s="21">
        <v>14</v>
      </c>
      <c r="J77" s="22">
        <f t="shared" si="32"/>
        <v>165.42857142857142</v>
      </c>
      <c r="K77" s="21">
        <v>2316</v>
      </c>
      <c r="L77" s="24">
        <f t="shared" si="31"/>
        <v>550.47668393782385</v>
      </c>
      <c r="M77" s="274">
        <v>1274904</v>
      </c>
      <c r="N77" s="21">
        <v>14</v>
      </c>
      <c r="O77" s="22">
        <f t="shared" si="18"/>
        <v>257</v>
      </c>
      <c r="P77" s="21">
        <v>3598</v>
      </c>
      <c r="Q77" s="24">
        <f t="shared" si="19"/>
        <v>545.40494719288495</v>
      </c>
      <c r="R77" s="274">
        <v>1962367</v>
      </c>
      <c r="S77" s="21">
        <v>26</v>
      </c>
      <c r="T77" s="22">
        <f t="shared" si="25"/>
        <v>240.61538461538461</v>
      </c>
      <c r="U77" s="21">
        <v>6256</v>
      </c>
      <c r="V77" s="24">
        <f t="shared" si="26"/>
        <v>551</v>
      </c>
      <c r="W77" s="24">
        <v>3447056</v>
      </c>
      <c r="X77" s="102">
        <v>24</v>
      </c>
      <c r="Y77" s="71">
        <f t="shared" si="27"/>
        <v>270.29166666666669</v>
      </c>
      <c r="Z77" s="102">
        <v>6487</v>
      </c>
      <c r="AA77" s="94">
        <f t="shared" si="28"/>
        <v>550.96701094496689</v>
      </c>
      <c r="AB77" s="94">
        <v>3574123</v>
      </c>
      <c r="AC77" s="7">
        <f>'Factor D Back Up'!D1212</f>
        <v>31</v>
      </c>
      <c r="AD77" s="8">
        <f>'Factor D Back Up'!E1212</f>
        <v>212.87096774193549</v>
      </c>
      <c r="AE77" s="7">
        <f>'Factor D Back Up'!F1212</f>
        <v>6599</v>
      </c>
      <c r="AF77" s="5">
        <f>'Factor D Back Up'!G1212</f>
        <v>480.99045309895439</v>
      </c>
      <c r="AG77" s="5">
        <f>'Factor D Back Up'!H1212</f>
        <v>3174056</v>
      </c>
      <c r="AH77" s="7">
        <f>'Factor D Back Up'!D1213</f>
        <v>36</v>
      </c>
      <c r="AI77" s="7">
        <f>'Factor D Back Up'!E1213</f>
        <v>141.94444444444446</v>
      </c>
      <c r="AJ77" s="7">
        <f>'Factor D Back Up'!F1213</f>
        <v>5110</v>
      </c>
      <c r="AK77" s="7">
        <f>'Factor D Back Up'!G1213</f>
        <v>486.94885714285715</v>
      </c>
      <c r="AL77" s="7">
        <f>'Factor D Back Up'!H1213</f>
        <v>2488308.66</v>
      </c>
      <c r="AM77" s="7">
        <f>'Factor D Back Up'!D1214</f>
        <v>19</v>
      </c>
      <c r="AN77" s="7">
        <f>'Factor D Back Up'!E1214</f>
        <v>202.73684210526315</v>
      </c>
      <c r="AO77" s="7">
        <f>'Factor D Back Up'!F1214</f>
        <v>3852</v>
      </c>
      <c r="AP77" s="7">
        <f>'Factor D Back Up'!G1214</f>
        <v>520.8040732087228</v>
      </c>
      <c r="AQ77" s="7">
        <f>'Factor D Back Up'!H1214</f>
        <v>2006137.29</v>
      </c>
      <c r="AR77" s="7">
        <f>'Factor D Back Up'!D1215</f>
        <v>12</v>
      </c>
      <c r="AS77" s="7">
        <f>'Factor D Back Up'!E1215</f>
        <v>207</v>
      </c>
      <c r="AT77" s="7">
        <f>'Factor D Back Up'!F1215</f>
        <v>2484</v>
      </c>
      <c r="AU77" s="7">
        <f>'Factor D Back Up'!G1215</f>
        <v>509.24504830917874</v>
      </c>
      <c r="AV77" s="7">
        <f>'Factor D Back Up'!H1215</f>
        <v>1264964.7</v>
      </c>
      <c r="AW77" s="7">
        <f>'Factor D Back Up'!D1216</f>
        <v>12</v>
      </c>
      <c r="AX77" s="7">
        <f>'Factor D Back Up'!E1216</f>
        <v>212.71553778182246</v>
      </c>
      <c r="AY77" s="7">
        <f>'Factor D Back Up'!F1216</f>
        <v>2552.5864533818694</v>
      </c>
      <c r="AZ77" s="7">
        <f>'Factor D Back Up'!G1216</f>
        <v>499.56</v>
      </c>
      <c r="BA77" s="7">
        <f>'Factor D Back Up'!H1216</f>
        <v>1275170.0886514466</v>
      </c>
    </row>
    <row r="78" spans="1:53" s="95" customFormat="1" x14ac:dyDescent="0.25">
      <c r="A78" s="100" t="s">
        <v>139</v>
      </c>
      <c r="B78" s="96" t="s">
        <v>167</v>
      </c>
      <c r="C78" s="96"/>
      <c r="D78" s="116">
        <v>812</v>
      </c>
      <c r="E78" s="117">
        <f t="shared" si="29"/>
        <v>1.8842364532019704</v>
      </c>
      <c r="F78" s="116">
        <v>1530</v>
      </c>
      <c r="G78" s="118">
        <f t="shared" si="30"/>
        <v>85.586124183006532</v>
      </c>
      <c r="H78" s="274">
        <v>130946.77</v>
      </c>
      <c r="I78" s="116">
        <v>662</v>
      </c>
      <c r="J78" s="117">
        <f t="shared" si="32"/>
        <v>2.6631419939577041</v>
      </c>
      <c r="K78" s="116">
        <v>1763</v>
      </c>
      <c r="L78" s="118">
        <f t="shared" si="31"/>
        <v>103.49968803176405</v>
      </c>
      <c r="M78" s="274">
        <v>182469.95</v>
      </c>
      <c r="N78" s="116">
        <v>22</v>
      </c>
      <c r="O78" s="117">
        <f t="shared" si="18"/>
        <v>1.4090909090909092</v>
      </c>
      <c r="P78" s="116">
        <v>31</v>
      </c>
      <c r="Q78" s="118">
        <f t="shared" si="19"/>
        <v>124.08387096774193</v>
      </c>
      <c r="R78" s="274">
        <v>3846.6</v>
      </c>
      <c r="S78" s="116">
        <v>3</v>
      </c>
      <c r="T78" s="117">
        <f t="shared" si="25"/>
        <v>1</v>
      </c>
      <c r="U78" s="116">
        <v>3</v>
      </c>
      <c r="V78" s="118">
        <f t="shared" si="26"/>
        <v>80.833333333333329</v>
      </c>
      <c r="W78" s="118">
        <v>242.5</v>
      </c>
      <c r="X78" s="119">
        <v>1</v>
      </c>
      <c r="Y78" s="98">
        <f t="shared" si="27"/>
        <v>1</v>
      </c>
      <c r="Z78" s="119">
        <v>1</v>
      </c>
      <c r="AA78" s="120">
        <f t="shared" si="28"/>
        <v>12</v>
      </c>
      <c r="AB78" s="120">
        <v>12</v>
      </c>
      <c r="AC78" s="121">
        <f>'Factor D Back Up'!D1230</f>
        <v>106</v>
      </c>
      <c r="AD78" s="98">
        <f>'Factor D Back Up'!E1230</f>
        <v>1.179245283018868</v>
      </c>
      <c r="AE78" s="121">
        <f>'Factor D Back Up'!F1230</f>
        <v>125</v>
      </c>
      <c r="AF78" s="122">
        <f>'Factor D Back Up'!G1230</f>
        <v>138.93600000000001</v>
      </c>
      <c r="AG78" s="122">
        <f>'Factor D Back Up'!H1230</f>
        <v>17367</v>
      </c>
      <c r="AH78" s="121">
        <f>'Factor D Back Up'!D1231</f>
        <v>141</v>
      </c>
      <c r="AI78" s="121">
        <f>'Factor D Back Up'!E1231</f>
        <v>1.3120567375886525</v>
      </c>
      <c r="AJ78" s="121">
        <f>'Factor D Back Up'!F1231</f>
        <v>185</v>
      </c>
      <c r="AK78" s="121">
        <f>'Factor D Back Up'!G1231</f>
        <v>72.850810810810813</v>
      </c>
      <c r="AL78" s="121">
        <f>'Factor D Back Up'!H1231</f>
        <v>13477.4</v>
      </c>
      <c r="AM78" s="121">
        <f>'Factor D Back Up'!D1232</f>
        <v>134</v>
      </c>
      <c r="AN78" s="121">
        <f>'Factor D Back Up'!E1232</f>
        <v>1.4925373134328359</v>
      </c>
      <c r="AO78" s="121">
        <f>'Factor D Back Up'!F1232</f>
        <v>200</v>
      </c>
      <c r="AP78" s="121">
        <f>'Factor D Back Up'!G1232</f>
        <v>68.92649999999999</v>
      </c>
      <c r="AQ78" s="121">
        <f>'Factor D Back Up'!H1232</f>
        <v>13785.3</v>
      </c>
      <c r="AR78" s="121">
        <f>'Factor D Back Up'!D1233</f>
        <v>108</v>
      </c>
      <c r="AS78" s="121">
        <f>'Factor D Back Up'!E1233</f>
        <v>1.6666666666666667</v>
      </c>
      <c r="AT78" s="121">
        <f>'Factor D Back Up'!F1233</f>
        <v>180</v>
      </c>
      <c r="AU78" s="121">
        <f>'Factor D Back Up'!G1233</f>
        <v>78.237222222222229</v>
      </c>
      <c r="AV78" s="121">
        <f>'Factor D Back Up'!H1233</f>
        <v>14082.7</v>
      </c>
      <c r="AW78" s="121">
        <f>'Factor D Back Up'!D1234</f>
        <v>114</v>
      </c>
      <c r="AX78" s="121">
        <f>'Factor D Back Up'!E1234</f>
        <v>1.1745592375138292</v>
      </c>
      <c r="AY78" s="121">
        <f>'Factor D Back Up'!F1234</f>
        <v>133.89975307657653</v>
      </c>
      <c r="AZ78" s="121">
        <f>'Factor D Back Up'!G1234</f>
        <v>98.500754128961461</v>
      </c>
      <c r="BA78" s="121">
        <f>'Factor D Back Up'!H1234</f>
        <v>13189.226655724517</v>
      </c>
    </row>
    <row r="79" spans="1:53" s="97" customFormat="1" x14ac:dyDescent="0.25">
      <c r="A79" s="100" t="s">
        <v>75</v>
      </c>
      <c r="B79" s="111"/>
      <c r="C79" s="111"/>
      <c r="D79" s="112"/>
      <c r="E79" s="99"/>
      <c r="F79" s="112"/>
      <c r="G79" s="113"/>
      <c r="H79" s="113"/>
      <c r="I79" s="112"/>
      <c r="J79" s="99"/>
      <c r="K79" s="112"/>
      <c r="L79" s="113"/>
      <c r="M79" s="113"/>
      <c r="N79" s="112"/>
      <c r="O79" s="99"/>
      <c r="P79" s="112"/>
      <c r="Q79" s="113"/>
      <c r="R79" s="113"/>
      <c r="S79" s="112"/>
      <c r="T79" s="99"/>
      <c r="U79" s="112"/>
      <c r="V79" s="113"/>
      <c r="W79" s="113"/>
      <c r="X79" s="123">
        <f>'Factor D Back Up'!D1247</f>
        <v>0</v>
      </c>
      <c r="Y79" s="117">
        <f>'Factor D Back Up'!E1247</f>
        <v>0</v>
      </c>
      <c r="Z79" s="123">
        <f>'Factor D Back Up'!F1247</f>
        <v>0</v>
      </c>
      <c r="AA79" s="124">
        <f>'Factor D Back Up'!G1247</f>
        <v>0</v>
      </c>
      <c r="AB79" s="124">
        <f>'Factor D Back Up'!H1247</f>
        <v>0</v>
      </c>
      <c r="AC79" s="112">
        <f>'Factor D Back Up'!D1248</f>
        <v>0</v>
      </c>
      <c r="AD79" s="99">
        <f>'Factor D Back Up'!E1248</f>
        <v>0</v>
      </c>
      <c r="AE79" s="112">
        <f>'Factor D Back Up'!F1248</f>
        <v>0</v>
      </c>
      <c r="AF79" s="113">
        <f>'Factor D Back Up'!G1248</f>
        <v>0</v>
      </c>
      <c r="AG79" s="113">
        <f>'Factor D Back Up'!H1248</f>
        <v>0</v>
      </c>
      <c r="AH79" s="112">
        <f>'Factor D Back Up'!D1249</f>
        <v>114</v>
      </c>
      <c r="AI79" s="112">
        <f>'Factor D Back Up'!E1249</f>
        <v>589.33333333333337</v>
      </c>
      <c r="AJ79" s="112">
        <f>'Factor D Back Up'!F1249</f>
        <v>67184</v>
      </c>
      <c r="AK79" s="112">
        <f>'Factor D Back Up'!G1249</f>
        <v>6.0364601690878779</v>
      </c>
      <c r="AL79" s="112">
        <f>'Factor D Back Up'!H1249</f>
        <v>405553.54</v>
      </c>
      <c r="AM79" s="112">
        <f>'Factor D Back Up'!D1250</f>
        <v>217</v>
      </c>
      <c r="AN79" s="112">
        <f>'Factor D Back Up'!E1250</f>
        <v>1341.9539170506912</v>
      </c>
      <c r="AO79" s="112">
        <f>'Factor D Back Up'!F1250</f>
        <v>291204</v>
      </c>
      <c r="AP79" s="112">
        <f>'Factor D Back Up'!G1250</f>
        <v>5.9759576791527591</v>
      </c>
      <c r="AQ79" s="112">
        <f>'Factor D Back Up'!H1250</f>
        <v>1740222.78</v>
      </c>
      <c r="AR79" s="112">
        <f>'Factor D Back Up'!D1251</f>
        <v>248</v>
      </c>
      <c r="AS79" s="112">
        <f>'Factor D Back Up'!E1251</f>
        <v>1557.1048387096773</v>
      </c>
      <c r="AT79" s="112">
        <f>'Factor D Back Up'!F1251</f>
        <v>386162</v>
      </c>
      <c r="AU79" s="112">
        <f>'Factor D Back Up'!G1251</f>
        <v>5.3143218649167965</v>
      </c>
      <c r="AV79" s="112">
        <f>'Factor D Back Up'!H1251</f>
        <v>2052189.16</v>
      </c>
      <c r="AW79" s="112">
        <f>'Factor D Back Up'!D1252</f>
        <v>254</v>
      </c>
      <c r="AX79" s="112">
        <f>'Factor D Back Up'!E1252</f>
        <v>1087.2557603686637</v>
      </c>
      <c r="AY79" s="112">
        <f>'Factor D Back Up'!F1252</f>
        <v>276162.96313364059</v>
      </c>
      <c r="AZ79" s="112">
        <f>'Factor D Back Up'!G1252</f>
        <v>5.36</v>
      </c>
      <c r="BA79" s="112">
        <f>'Factor D Back Up'!H1252</f>
        <v>1480233.4823963137</v>
      </c>
    </row>
    <row r="80" spans="1:53" x14ac:dyDescent="0.25">
      <c r="A80" s="677" t="s">
        <v>160</v>
      </c>
      <c r="B80" s="678"/>
      <c r="C80" s="679"/>
      <c r="D80" s="627"/>
      <c r="E80" s="628"/>
      <c r="F80" s="628"/>
      <c r="G80" s="629"/>
      <c r="H80" s="24">
        <f>SUM(H4:H79)</f>
        <v>88765796.279999986</v>
      </c>
      <c r="I80" s="627"/>
      <c r="J80" s="628"/>
      <c r="K80" s="628"/>
      <c r="L80" s="629"/>
      <c r="M80" s="24">
        <f>SUM(M4:M79)</f>
        <v>111428789.97999999</v>
      </c>
      <c r="N80" s="627"/>
      <c r="O80" s="628"/>
      <c r="P80" s="628"/>
      <c r="Q80" s="629"/>
      <c r="R80" s="24">
        <f>SUM(R4:R79)</f>
        <v>137659311.35999998</v>
      </c>
      <c r="S80" s="627"/>
      <c r="T80" s="628"/>
      <c r="U80" s="628"/>
      <c r="V80" s="629"/>
      <c r="W80" s="24">
        <f>SUM(W4:W79)</f>
        <v>137544282.22</v>
      </c>
      <c r="X80" s="657"/>
      <c r="Y80" s="658"/>
      <c r="Z80" s="658"/>
      <c r="AA80" s="659"/>
      <c r="AB80" s="94">
        <f>SUM(AB4:AB79)</f>
        <v>146099738.34999999</v>
      </c>
      <c r="AC80" s="657"/>
      <c r="AD80" s="658"/>
      <c r="AE80" s="658"/>
      <c r="AF80" s="659"/>
      <c r="AG80" s="9" t="e">
        <f>SUM(AG4:AG79)</f>
        <v>#REF!</v>
      </c>
      <c r="AH80" s="657"/>
      <c r="AI80" s="658"/>
      <c r="AJ80" s="658"/>
      <c r="AK80" s="659"/>
      <c r="AL80" s="5" t="e">
        <f>SUM(AL4:AL79)</f>
        <v>#REF!</v>
      </c>
      <c r="AM80" s="657"/>
      <c r="AN80" s="658"/>
      <c r="AO80" s="658"/>
      <c r="AP80" s="659"/>
      <c r="AQ80" s="5" t="e">
        <f>SUM(AQ4:AQ79)</f>
        <v>#REF!</v>
      </c>
      <c r="AR80" s="657"/>
      <c r="AS80" s="658"/>
      <c r="AT80" s="658"/>
      <c r="AU80" s="659"/>
      <c r="AV80" s="5" t="e">
        <f>SUM(AV4:AV79)</f>
        <v>#REF!</v>
      </c>
      <c r="AW80" s="657"/>
      <c r="AX80" s="658"/>
      <c r="AY80" s="658"/>
      <c r="AZ80" s="659"/>
      <c r="BA80" s="5" t="e">
        <f>SUM(BA4:BA79)</f>
        <v>#REF!</v>
      </c>
    </row>
    <row r="81" spans="1:53" x14ac:dyDescent="0.25">
      <c r="A81" s="677" t="s">
        <v>161</v>
      </c>
      <c r="B81" s="678"/>
      <c r="C81" s="679"/>
      <c r="D81" s="630"/>
      <c r="E81" s="631"/>
      <c r="F81" s="631"/>
      <c r="G81" s="632"/>
      <c r="H81" s="21">
        <v>1182</v>
      </c>
      <c r="I81" s="630"/>
      <c r="J81" s="631"/>
      <c r="K81" s="631"/>
      <c r="L81" s="632"/>
      <c r="M81" s="21">
        <v>1288</v>
      </c>
      <c r="N81" s="630"/>
      <c r="O81" s="631"/>
      <c r="P81" s="631"/>
      <c r="Q81" s="632"/>
      <c r="R81" s="21">
        <v>1495</v>
      </c>
      <c r="S81" s="630"/>
      <c r="T81" s="631"/>
      <c r="U81" s="631"/>
      <c r="V81" s="632"/>
      <c r="W81" s="21">
        <v>1470</v>
      </c>
      <c r="X81" s="660"/>
      <c r="Y81" s="661"/>
      <c r="Z81" s="661"/>
      <c r="AA81" s="662"/>
      <c r="AB81" s="94">
        <f>'Non Factor D Back Up'!F5</f>
        <v>1528</v>
      </c>
      <c r="AC81" s="660"/>
      <c r="AD81" s="661"/>
      <c r="AE81" s="661"/>
      <c r="AF81" s="662"/>
      <c r="AG81" s="15">
        <f>'Non Factor D Back Up'!G5</f>
        <v>1592</v>
      </c>
      <c r="AH81" s="660"/>
      <c r="AI81" s="661"/>
      <c r="AJ81" s="661"/>
      <c r="AK81" s="662"/>
      <c r="AL81" s="15">
        <f>'Non Factor D Back Up'!H5</f>
        <v>1642</v>
      </c>
      <c r="AM81" s="660"/>
      <c r="AN81" s="661"/>
      <c r="AO81" s="661"/>
      <c r="AP81" s="662"/>
      <c r="AQ81" s="15">
        <f>'Non Factor D Back Up'!I5</f>
        <v>1675</v>
      </c>
      <c r="AR81" s="660"/>
      <c r="AS81" s="661"/>
      <c r="AT81" s="661"/>
      <c r="AU81" s="662"/>
      <c r="AV81" s="15">
        <f>'Non Factor D Back Up'!J5</f>
        <v>1739</v>
      </c>
      <c r="AW81" s="660"/>
      <c r="AX81" s="661"/>
      <c r="AY81" s="661"/>
      <c r="AZ81" s="662"/>
      <c r="BA81" s="15">
        <f>'Non Factor D Back Up'!K5</f>
        <v>1752</v>
      </c>
    </row>
    <row r="82" spans="1:53" x14ac:dyDescent="0.25">
      <c r="A82" s="677" t="s">
        <v>162</v>
      </c>
      <c r="B82" s="678"/>
      <c r="C82" s="679"/>
      <c r="D82" s="630"/>
      <c r="E82" s="631"/>
      <c r="F82" s="631"/>
      <c r="G82" s="632"/>
      <c r="H82" s="24">
        <f>H80/H81</f>
        <v>75097.966395939075</v>
      </c>
      <c r="I82" s="630"/>
      <c r="J82" s="631"/>
      <c r="K82" s="631"/>
      <c r="L82" s="632"/>
      <c r="M82" s="24">
        <f>M80/M81</f>
        <v>86513.035698757754</v>
      </c>
      <c r="N82" s="630"/>
      <c r="O82" s="631"/>
      <c r="P82" s="631"/>
      <c r="Q82" s="632"/>
      <c r="R82" s="24">
        <f>R80/R81</f>
        <v>92079.80692976588</v>
      </c>
      <c r="S82" s="630"/>
      <c r="T82" s="631"/>
      <c r="U82" s="631"/>
      <c r="V82" s="632"/>
      <c r="W82" s="24">
        <f>W80/W81</f>
        <v>93567.538925170069</v>
      </c>
      <c r="X82" s="660"/>
      <c r="Y82" s="661"/>
      <c r="Z82" s="661"/>
      <c r="AA82" s="662"/>
      <c r="AB82" s="94">
        <f>AB80/AB81</f>
        <v>95615.012009162296</v>
      </c>
      <c r="AC82" s="660"/>
      <c r="AD82" s="661"/>
      <c r="AE82" s="661"/>
      <c r="AF82" s="662"/>
      <c r="AG82" s="5" t="e">
        <f>AG80/AG81</f>
        <v>#REF!</v>
      </c>
      <c r="AH82" s="660"/>
      <c r="AI82" s="661"/>
      <c r="AJ82" s="661"/>
      <c r="AK82" s="662"/>
      <c r="AL82" s="5" t="e">
        <f>AL80/AL81</f>
        <v>#REF!</v>
      </c>
      <c r="AM82" s="660"/>
      <c r="AN82" s="661"/>
      <c r="AO82" s="661"/>
      <c r="AP82" s="662"/>
      <c r="AQ82" s="5" t="e">
        <f>AQ80/AQ81</f>
        <v>#REF!</v>
      </c>
      <c r="AR82" s="660"/>
      <c r="AS82" s="661"/>
      <c r="AT82" s="661"/>
      <c r="AU82" s="662"/>
      <c r="AV82" s="5" t="e">
        <f>AV80/AV81</f>
        <v>#REF!</v>
      </c>
      <c r="AW82" s="660"/>
      <c r="AX82" s="661"/>
      <c r="AY82" s="661"/>
      <c r="AZ82" s="662"/>
      <c r="BA82" s="5" t="e">
        <f>BA80/BA81</f>
        <v>#REF!</v>
      </c>
    </row>
    <row r="83" spans="1:53" x14ac:dyDescent="0.25">
      <c r="A83" s="677" t="s">
        <v>164</v>
      </c>
      <c r="B83" s="678"/>
      <c r="C83" s="679"/>
      <c r="D83" s="630"/>
      <c r="E83" s="631"/>
      <c r="F83" s="631"/>
      <c r="G83" s="632"/>
      <c r="H83" s="21">
        <v>346510</v>
      </c>
      <c r="I83" s="630"/>
      <c r="J83" s="631"/>
      <c r="K83" s="631"/>
      <c r="L83" s="632"/>
      <c r="M83" s="21">
        <v>407368</v>
      </c>
      <c r="N83" s="630"/>
      <c r="O83" s="631"/>
      <c r="P83" s="631"/>
      <c r="Q83" s="632"/>
      <c r="R83" s="21">
        <v>476960</v>
      </c>
      <c r="S83" s="630"/>
      <c r="T83" s="631"/>
      <c r="U83" s="631"/>
      <c r="V83" s="632"/>
      <c r="W83" s="21">
        <v>508312</v>
      </c>
      <c r="X83" s="660"/>
      <c r="Y83" s="661"/>
      <c r="Z83" s="661"/>
      <c r="AA83" s="662"/>
      <c r="AB83" s="94">
        <f>'Non Factor D Back Up'!F6</f>
        <v>512212</v>
      </c>
      <c r="AC83" s="660"/>
      <c r="AD83" s="661"/>
      <c r="AE83" s="661"/>
      <c r="AF83" s="662"/>
      <c r="AG83" s="15">
        <f>'Non Factor D Back Up'!G6</f>
        <v>576322</v>
      </c>
      <c r="AH83" s="660"/>
      <c r="AI83" s="661"/>
      <c r="AJ83" s="661"/>
      <c r="AK83" s="662"/>
      <c r="AL83" s="15">
        <f>'Non Factor D Back Up'!H6</f>
        <v>592806</v>
      </c>
      <c r="AM83" s="660"/>
      <c r="AN83" s="661"/>
      <c r="AO83" s="661"/>
      <c r="AP83" s="662"/>
      <c r="AQ83" s="15">
        <f>'Non Factor D Back Up'!I6</f>
        <v>580688</v>
      </c>
      <c r="AR83" s="660"/>
      <c r="AS83" s="661"/>
      <c r="AT83" s="661"/>
      <c r="AU83" s="662"/>
      <c r="AV83" s="15">
        <f>'Non Factor D Back Up'!J6</f>
        <v>594161</v>
      </c>
      <c r="AW83" s="660"/>
      <c r="AX83" s="661"/>
      <c r="AY83" s="661"/>
      <c r="AZ83" s="662"/>
      <c r="BA83" s="15">
        <f>'Non Factor D Back Up'!K6</f>
        <v>630997.87564074434</v>
      </c>
    </row>
    <row r="84" spans="1:53" x14ac:dyDescent="0.25">
      <c r="A84" s="677" t="s">
        <v>163</v>
      </c>
      <c r="B84" s="678"/>
      <c r="C84" s="679"/>
      <c r="D84" s="630"/>
      <c r="E84" s="631"/>
      <c r="F84" s="631"/>
      <c r="G84" s="632"/>
      <c r="H84" s="27">
        <f>H83/H81</f>
        <v>293.15566835871402</v>
      </c>
      <c r="I84" s="630"/>
      <c r="J84" s="631"/>
      <c r="K84" s="631"/>
      <c r="L84" s="632"/>
      <c r="M84" s="27">
        <f>M83/M81</f>
        <v>316.27950310559004</v>
      </c>
      <c r="N84" s="630"/>
      <c r="O84" s="631"/>
      <c r="P84" s="631"/>
      <c r="Q84" s="632"/>
      <c r="R84" s="27">
        <f>R83/R81</f>
        <v>319.03678929765886</v>
      </c>
      <c r="S84" s="630"/>
      <c r="T84" s="631"/>
      <c r="U84" s="631"/>
      <c r="V84" s="632"/>
      <c r="W84" s="27">
        <f>W83/W81</f>
        <v>345.79047619047617</v>
      </c>
      <c r="X84" s="660"/>
      <c r="Y84" s="661"/>
      <c r="Z84" s="661"/>
      <c r="AA84" s="662"/>
      <c r="AB84" s="94">
        <f>'Non Factor D Back Up'!F7</f>
        <v>335.21727748691097</v>
      </c>
      <c r="AC84" s="660"/>
      <c r="AD84" s="661"/>
      <c r="AE84" s="661"/>
      <c r="AF84" s="662"/>
      <c r="AG84" s="15">
        <f>'Non Factor D Back Up'!G7</f>
        <v>362.0113065326633</v>
      </c>
      <c r="AH84" s="660"/>
      <c r="AI84" s="661"/>
      <c r="AJ84" s="661"/>
      <c r="AK84" s="662"/>
      <c r="AL84" s="15">
        <f>'Non Factor D Back Up'!H7</f>
        <v>361.02679658952496</v>
      </c>
      <c r="AM84" s="660"/>
      <c r="AN84" s="661"/>
      <c r="AO84" s="661"/>
      <c r="AP84" s="662"/>
      <c r="AQ84" s="15">
        <f>'Non Factor D Back Up'!I7</f>
        <v>346.6794029850746</v>
      </c>
      <c r="AR84" s="660"/>
      <c r="AS84" s="661"/>
      <c r="AT84" s="661"/>
      <c r="AU84" s="662"/>
      <c r="AV84" s="15">
        <f>'Non Factor D Back Up'!J7</f>
        <v>341.66820011500863</v>
      </c>
      <c r="AW84" s="660"/>
      <c r="AX84" s="661"/>
      <c r="AY84" s="661"/>
      <c r="AZ84" s="662"/>
      <c r="BA84" s="15">
        <f>'Non Factor D Back Up'!K7</f>
        <v>360.15860481777645</v>
      </c>
    </row>
    <row r="85" spans="1:53" x14ac:dyDescent="0.25">
      <c r="A85" s="677" t="s">
        <v>168</v>
      </c>
      <c r="B85" s="678"/>
      <c r="C85" s="679"/>
      <c r="D85" s="630"/>
      <c r="E85" s="631"/>
      <c r="F85" s="631"/>
      <c r="G85" s="632"/>
      <c r="H85" s="24">
        <v>30020</v>
      </c>
      <c r="I85" s="630"/>
      <c r="J85" s="631"/>
      <c r="K85" s="631"/>
      <c r="L85" s="632"/>
      <c r="M85" s="24">
        <v>29768.98</v>
      </c>
      <c r="N85" s="630"/>
      <c r="O85" s="631"/>
      <c r="P85" s="631"/>
      <c r="Q85" s="632"/>
      <c r="R85" s="24">
        <v>25589.66</v>
      </c>
      <c r="S85" s="630"/>
      <c r="T85" s="631"/>
      <c r="U85" s="631"/>
      <c r="V85" s="632"/>
      <c r="W85" s="24">
        <v>24810.76</v>
      </c>
      <c r="X85" s="660"/>
      <c r="Y85" s="661"/>
      <c r="Z85" s="661"/>
      <c r="AA85" s="662"/>
      <c r="AB85" s="94">
        <f>'Non Factor D Back Up'!F8</f>
        <v>21905.46</v>
      </c>
      <c r="AC85" s="660"/>
      <c r="AD85" s="661"/>
      <c r="AE85" s="661"/>
      <c r="AF85" s="662"/>
      <c r="AG85" s="16">
        <f>'Non Factor D Back Up'!G8</f>
        <v>23745.06</v>
      </c>
      <c r="AH85" s="660"/>
      <c r="AI85" s="661"/>
      <c r="AJ85" s="661"/>
      <c r="AK85" s="662"/>
      <c r="AL85" s="16">
        <f>'Non Factor D Back Up'!H8</f>
        <v>11883.19</v>
      </c>
      <c r="AM85" s="660"/>
      <c r="AN85" s="661"/>
      <c r="AO85" s="661"/>
      <c r="AP85" s="662"/>
      <c r="AQ85" s="16">
        <f>'Non Factor D Back Up'!I8</f>
        <v>10967.65</v>
      </c>
      <c r="AR85" s="660"/>
      <c r="AS85" s="661"/>
      <c r="AT85" s="661"/>
      <c r="AU85" s="662"/>
      <c r="AV85" s="16">
        <f>'Non Factor D Back Up'!J8</f>
        <v>10510.96</v>
      </c>
      <c r="AW85" s="660"/>
      <c r="AX85" s="661"/>
      <c r="AY85" s="661"/>
      <c r="AZ85" s="662"/>
      <c r="BA85" s="16">
        <f>'Non Factor D Back Up'!K8</f>
        <v>10794.755919999998</v>
      </c>
    </row>
    <row r="86" spans="1:53" x14ac:dyDescent="0.25">
      <c r="A86" s="677" t="s">
        <v>169</v>
      </c>
      <c r="B86" s="678"/>
      <c r="C86" s="679"/>
      <c r="D86" s="630"/>
      <c r="E86" s="631"/>
      <c r="F86" s="631"/>
      <c r="G86" s="632"/>
      <c r="H86" s="24">
        <v>115181.02</v>
      </c>
      <c r="I86" s="630"/>
      <c r="J86" s="631"/>
      <c r="K86" s="631"/>
      <c r="L86" s="632"/>
      <c r="M86" s="24">
        <v>133363.43</v>
      </c>
      <c r="N86" s="630"/>
      <c r="O86" s="631"/>
      <c r="P86" s="631"/>
      <c r="Q86" s="632"/>
      <c r="R86" s="24">
        <v>10885.76</v>
      </c>
      <c r="S86" s="630"/>
      <c r="T86" s="631"/>
      <c r="U86" s="631"/>
      <c r="V86" s="632"/>
      <c r="W86" s="24">
        <v>140845.68</v>
      </c>
      <c r="X86" s="660"/>
      <c r="Y86" s="661"/>
      <c r="Z86" s="661"/>
      <c r="AA86" s="662"/>
      <c r="AB86" s="94">
        <f>'Non Factor D Back Up'!F9</f>
        <v>150571.22</v>
      </c>
      <c r="AC86" s="660"/>
      <c r="AD86" s="661"/>
      <c r="AE86" s="661"/>
      <c r="AF86" s="662"/>
      <c r="AG86" s="16">
        <f>'Non Factor D Back Up'!G9</f>
        <v>241743.79</v>
      </c>
      <c r="AH86" s="660"/>
      <c r="AI86" s="661"/>
      <c r="AJ86" s="661"/>
      <c r="AK86" s="662"/>
      <c r="AL86" s="16">
        <f>'Non Factor D Back Up'!H9</f>
        <v>278047.31</v>
      </c>
      <c r="AM86" s="660"/>
      <c r="AN86" s="661"/>
      <c r="AO86" s="661"/>
      <c r="AP86" s="662"/>
      <c r="AQ86" s="16">
        <f>'Non Factor D Back Up'!I9</f>
        <v>272519.90999999997</v>
      </c>
      <c r="AR86" s="660"/>
      <c r="AS86" s="661"/>
      <c r="AT86" s="661"/>
      <c r="AU86" s="662"/>
      <c r="AV86" s="16">
        <f>'Non Factor D Back Up'!J9</f>
        <v>272965.86</v>
      </c>
      <c r="AW86" s="660"/>
      <c r="AX86" s="661"/>
      <c r="AY86" s="661"/>
      <c r="AZ86" s="662"/>
      <c r="BA86" s="16">
        <f>'Non Factor D Back Up'!K9</f>
        <v>288353.92000000004</v>
      </c>
    </row>
    <row r="87" spans="1:53" x14ac:dyDescent="0.25">
      <c r="A87" s="677" t="s">
        <v>170</v>
      </c>
      <c r="B87" s="678"/>
      <c r="C87" s="679"/>
      <c r="D87" s="633"/>
      <c r="E87" s="634"/>
      <c r="F87" s="634"/>
      <c r="G87" s="635"/>
      <c r="H87" s="24">
        <v>46844.959999999999</v>
      </c>
      <c r="I87" s="633"/>
      <c r="J87" s="634"/>
      <c r="K87" s="634"/>
      <c r="L87" s="635"/>
      <c r="M87" s="24">
        <v>38281.78</v>
      </c>
      <c r="N87" s="633"/>
      <c r="O87" s="634"/>
      <c r="P87" s="634"/>
      <c r="Q87" s="635"/>
      <c r="R87" s="24">
        <v>1660284.97</v>
      </c>
      <c r="S87" s="633"/>
      <c r="T87" s="634"/>
      <c r="U87" s="634"/>
      <c r="V87" s="635"/>
      <c r="W87" s="24">
        <v>36782.68</v>
      </c>
      <c r="X87" s="663"/>
      <c r="Y87" s="664"/>
      <c r="Z87" s="664"/>
      <c r="AA87" s="665"/>
      <c r="AB87" s="94">
        <f>'Non Factor D Back Up'!F10</f>
        <v>34663.89</v>
      </c>
      <c r="AC87" s="663"/>
      <c r="AD87" s="664"/>
      <c r="AE87" s="664"/>
      <c r="AF87" s="665"/>
      <c r="AG87" s="16">
        <f>'Non Factor D Back Up'!G10</f>
        <v>12201.09</v>
      </c>
      <c r="AH87" s="663"/>
      <c r="AI87" s="664"/>
      <c r="AJ87" s="664"/>
      <c r="AK87" s="665"/>
      <c r="AL87" s="16">
        <f>'Non Factor D Back Up'!H10</f>
        <v>9918.49</v>
      </c>
      <c r="AM87" s="663"/>
      <c r="AN87" s="664"/>
      <c r="AO87" s="664"/>
      <c r="AP87" s="665"/>
      <c r="AQ87" s="16">
        <f>'Non Factor D Back Up'!I10</f>
        <v>13362.7</v>
      </c>
      <c r="AR87" s="663"/>
      <c r="AS87" s="664"/>
      <c r="AT87" s="664"/>
      <c r="AU87" s="665"/>
      <c r="AV87" s="16">
        <f>'Non Factor D Back Up'!J10</f>
        <v>10400.98</v>
      </c>
      <c r="AW87" s="663"/>
      <c r="AX87" s="664"/>
      <c r="AY87" s="664"/>
      <c r="AZ87" s="665"/>
      <c r="BA87" s="16">
        <f>'Non Factor D Back Up'!K10</f>
        <v>10681.806459999998</v>
      </c>
    </row>
    <row r="89" spans="1:53" x14ac:dyDescent="0.25">
      <c r="A89" t="s">
        <v>178</v>
      </c>
    </row>
    <row r="90" spans="1:53" x14ac:dyDescent="0.25">
      <c r="A90" t="s">
        <v>162</v>
      </c>
      <c r="H90" s="29">
        <f>H82</f>
        <v>75097.966395939075</v>
      </c>
      <c r="M90" s="29">
        <f>M82</f>
        <v>86513.035698757754</v>
      </c>
      <c r="R90" s="29">
        <f>R82</f>
        <v>92079.80692976588</v>
      </c>
      <c r="W90" s="29">
        <f>W82</f>
        <v>93567.538925170069</v>
      </c>
      <c r="X90" s="103"/>
      <c r="Y90" s="106"/>
      <c r="Z90" s="103"/>
      <c r="AA90" s="107"/>
      <c r="AB90" s="105">
        <f>AB82</f>
        <v>95615.012009162296</v>
      </c>
      <c r="AC90" s="10"/>
      <c r="AD90" s="10"/>
      <c r="AE90" s="10"/>
      <c r="AF90" s="10"/>
      <c r="AG90" s="6" t="e">
        <f>AG82</f>
        <v>#REF!</v>
      </c>
      <c r="AL90" s="6" t="e">
        <f>AL82</f>
        <v>#REF!</v>
      </c>
      <c r="AQ90" s="6" t="e">
        <f>AQ82</f>
        <v>#REF!</v>
      </c>
      <c r="AV90" s="6" t="e">
        <f>AV82</f>
        <v>#REF!</v>
      </c>
      <c r="BA90" s="6" t="e">
        <f>BA82</f>
        <v>#REF!</v>
      </c>
    </row>
    <row r="91" spans="1:53" x14ac:dyDescent="0.25">
      <c r="A91" t="s">
        <v>168</v>
      </c>
      <c r="H91" s="29">
        <f>H85</f>
        <v>30020</v>
      </c>
      <c r="M91" s="29">
        <f>M85</f>
        <v>29768.98</v>
      </c>
      <c r="R91" s="29">
        <f>R85</f>
        <v>25589.66</v>
      </c>
      <c r="W91" s="29">
        <f>W85</f>
        <v>24810.76</v>
      </c>
      <c r="AB91" s="105">
        <f>AB85</f>
        <v>21905.46</v>
      </c>
      <c r="AG91" s="6">
        <f>AG85</f>
        <v>23745.06</v>
      </c>
      <c r="AL91" s="6">
        <f>AL85</f>
        <v>11883.19</v>
      </c>
      <c r="AQ91" s="6">
        <f>AQ85</f>
        <v>10967.65</v>
      </c>
      <c r="AV91" s="6">
        <f>AV85</f>
        <v>10510.96</v>
      </c>
      <c r="BA91" s="6">
        <f>BA85</f>
        <v>10794.755919999998</v>
      </c>
    </row>
    <row r="92" spans="1:53" x14ac:dyDescent="0.25">
      <c r="A92" t="s">
        <v>179</v>
      </c>
      <c r="H92" s="29">
        <f>SUM(H90:H91)</f>
        <v>105117.96639593907</v>
      </c>
      <c r="M92" s="29">
        <f>SUM(M90:M91)</f>
        <v>116282.01569875775</v>
      </c>
      <c r="R92" s="29">
        <f>SUM(R90:R91)</f>
        <v>117669.46692976588</v>
      </c>
      <c r="W92" s="29">
        <f>SUM(W90:W91)</f>
        <v>118378.29892517006</v>
      </c>
      <c r="AB92" s="105">
        <f>SUM(AB90:AB91)</f>
        <v>117520.4720091623</v>
      </c>
      <c r="AG92" s="6" t="e">
        <f>SUM(AG90:AG91)</f>
        <v>#REF!</v>
      </c>
      <c r="AL92" s="6" t="e">
        <f>SUM(AL90:AL91)</f>
        <v>#REF!</v>
      </c>
      <c r="AQ92" s="6" t="e">
        <f>SUM(AQ90:AQ91)</f>
        <v>#REF!</v>
      </c>
      <c r="AV92" s="6" t="e">
        <f>SUM(AV90:AV91)</f>
        <v>#REF!</v>
      </c>
      <c r="BA92" s="6" t="e">
        <f>SUM(BA90:BA91)</f>
        <v>#REF!</v>
      </c>
    </row>
    <row r="93" spans="1:53" x14ac:dyDescent="0.25">
      <c r="M93" s="31"/>
      <c r="R93" s="31"/>
      <c r="W93" s="31"/>
    </row>
    <row r="94" spans="1:53" x14ac:dyDescent="0.25">
      <c r="A94" t="s">
        <v>169</v>
      </c>
      <c r="H94" s="29">
        <f>H86</f>
        <v>115181.02</v>
      </c>
      <c r="M94" s="29">
        <f>M86</f>
        <v>133363.43</v>
      </c>
      <c r="R94" s="29">
        <f>R86</f>
        <v>10885.76</v>
      </c>
      <c r="W94" s="29">
        <f>W86</f>
        <v>140845.68</v>
      </c>
      <c r="AB94" s="105">
        <f>AB86</f>
        <v>150571.22</v>
      </c>
      <c r="AG94" s="6">
        <f>AG86</f>
        <v>241743.79</v>
      </c>
      <c r="AL94" s="6">
        <f>AL86</f>
        <v>278047.31</v>
      </c>
      <c r="AQ94" s="6">
        <f>AQ86</f>
        <v>272519.90999999997</v>
      </c>
      <c r="AV94" s="6">
        <f>AV86</f>
        <v>272965.86</v>
      </c>
      <c r="BA94" s="6">
        <f>BA86</f>
        <v>288353.92000000004</v>
      </c>
    </row>
    <row r="95" spans="1:53" x14ac:dyDescent="0.25">
      <c r="A95" t="s">
        <v>170</v>
      </c>
      <c r="H95" s="29">
        <f>H87</f>
        <v>46844.959999999999</v>
      </c>
      <c r="M95" s="29">
        <f>M87</f>
        <v>38281.78</v>
      </c>
      <c r="R95" s="29">
        <f>R87</f>
        <v>1660284.97</v>
      </c>
      <c r="W95" s="29">
        <f>W87</f>
        <v>36782.68</v>
      </c>
      <c r="AB95" s="105">
        <f>AB87</f>
        <v>34663.89</v>
      </c>
      <c r="AG95" s="6">
        <f>AG87</f>
        <v>12201.09</v>
      </c>
      <c r="AL95" s="6">
        <f>AL87</f>
        <v>9918.49</v>
      </c>
      <c r="AQ95" s="6">
        <f>AQ87</f>
        <v>13362.7</v>
      </c>
      <c r="AV95" s="6">
        <f>AV87</f>
        <v>10400.98</v>
      </c>
      <c r="BA95" s="6">
        <f>BA87</f>
        <v>10681.806459999998</v>
      </c>
    </row>
    <row r="96" spans="1:53" x14ac:dyDescent="0.25">
      <c r="A96" t="s">
        <v>180</v>
      </c>
      <c r="H96" s="29">
        <f>SUM(H94:H95)</f>
        <v>162025.98000000001</v>
      </c>
      <c r="M96" s="29">
        <f>SUM(M94:M95)</f>
        <v>171645.21</v>
      </c>
      <c r="R96" s="29">
        <f>SUM(R94:R95)</f>
        <v>1671170.73</v>
      </c>
      <c r="W96" s="29">
        <f>SUM(W94:W95)</f>
        <v>177628.36</v>
      </c>
      <c r="AB96" s="105">
        <f>SUM(AB94:AB95)</f>
        <v>185235.11</v>
      </c>
      <c r="AG96" s="6">
        <f>SUM(AG94:AG95)</f>
        <v>253944.88</v>
      </c>
      <c r="AL96" s="6">
        <f>SUM(AL94:AL95)</f>
        <v>287965.8</v>
      </c>
      <c r="AQ96" s="6">
        <f>SUM(AQ94:AQ95)</f>
        <v>285882.61</v>
      </c>
      <c r="AV96" s="6">
        <f>SUM(AV94:AV95)</f>
        <v>283366.83999999997</v>
      </c>
      <c r="BA96" s="6">
        <f>SUM(BA94:BA95)</f>
        <v>299035.72646000003</v>
      </c>
    </row>
    <row r="97" spans="1:53" x14ac:dyDescent="0.25">
      <c r="M97" s="31"/>
      <c r="R97" s="31"/>
      <c r="W97" s="31"/>
    </row>
    <row r="98" spans="1:53" x14ac:dyDescent="0.25">
      <c r="A98" t="s">
        <v>181</v>
      </c>
      <c r="H98" s="30" t="str">
        <f>IF(H96&gt;H92,"YES","NO")</f>
        <v>YES</v>
      </c>
      <c r="M98" s="30" t="str">
        <f>IF(M96&gt;M92,"YES","NO")</f>
        <v>YES</v>
      </c>
      <c r="R98" s="30" t="str">
        <f>IF(R96&gt;R92,"YES","NO")</f>
        <v>YES</v>
      </c>
      <c r="W98" s="30" t="str">
        <f>IF(W96&gt;W92,"YES","NO")</f>
        <v>YES</v>
      </c>
      <c r="AB98" s="108" t="str">
        <f>IF(AB96&gt;AB92,"YES","NO")</f>
        <v>YES</v>
      </c>
      <c r="AG98" s="4" t="e">
        <f>IF(AG96&gt;AG92,"YES","NO")</f>
        <v>#REF!</v>
      </c>
      <c r="AL98" s="4" t="e">
        <f>IF(AL96&gt;AL92,"YES","NO")</f>
        <v>#REF!</v>
      </c>
      <c r="AQ98" s="4" t="e">
        <f>IF(AQ96&gt;AQ92,"YES","NO")</f>
        <v>#REF!</v>
      </c>
      <c r="AV98" s="4" t="e">
        <f>IF(AV96&gt;AV92,"YES","NO")</f>
        <v>#REF!</v>
      </c>
      <c r="BA98" s="4" t="e">
        <f>IF(BA96&gt;BA92,"YES","NO")</f>
        <v>#REF!</v>
      </c>
    </row>
    <row r="105" spans="1:53" s="73" customFormat="1" x14ac:dyDescent="0.25">
      <c r="A105" s="73" t="s">
        <v>179</v>
      </c>
      <c r="B105" s="74">
        <v>105117.96639593907</v>
      </c>
      <c r="C105" s="74">
        <v>116282.2250931677</v>
      </c>
      <c r="D105" s="74">
        <v>117704.30646822741</v>
      </c>
      <c r="E105" s="74">
        <v>118378.29892517006</v>
      </c>
      <c r="F105" s="73">
        <v>134372.71386974963</v>
      </c>
      <c r="G105" s="73">
        <v>150868.77278781732</v>
      </c>
      <c r="H105" s="73">
        <v>161396.66577239364</v>
      </c>
      <c r="I105" s="73">
        <v>172049.03091028571</v>
      </c>
      <c r="J105" s="73">
        <v>187598.88618058525</v>
      </c>
      <c r="K105" s="73">
        <v>204139.41856870815</v>
      </c>
      <c r="X105" s="101"/>
      <c r="Y105" s="104"/>
      <c r="Z105" s="101"/>
      <c r="AA105" s="104"/>
      <c r="AB105" s="105"/>
    </row>
    <row r="106" spans="1:53" s="73" customFormat="1" x14ac:dyDescent="0.25">
      <c r="A106" s="73" t="s">
        <v>180</v>
      </c>
      <c r="B106" s="74">
        <v>162065.98000000001</v>
      </c>
      <c r="C106" s="74">
        <v>171645.21</v>
      </c>
      <c r="D106" s="74">
        <v>177524.32</v>
      </c>
      <c r="E106" s="74">
        <v>177628.36</v>
      </c>
      <c r="F106" s="73">
        <v>185357.52999999997</v>
      </c>
      <c r="G106" s="73">
        <v>190614.155</v>
      </c>
      <c r="H106" s="73">
        <v>195870.78</v>
      </c>
      <c r="I106" s="73">
        <v>201127.405</v>
      </c>
      <c r="J106" s="73">
        <v>206384.03</v>
      </c>
      <c r="K106" s="73">
        <v>211640.655</v>
      </c>
      <c r="X106" s="101"/>
      <c r="Y106" s="104"/>
      <c r="Z106" s="101"/>
      <c r="AA106" s="104"/>
      <c r="AB106" s="105"/>
    </row>
  </sheetData>
  <customSheetViews>
    <customSheetView guid="{B6305DA3-A032-4F38-BA31-37F5B3FAC8B9}" scale="90" fitToPage="1" hiddenColumns="1" state="hidden">
      <pane xSplit="3" ySplit="3" topLeftCell="E76" activePane="bottomRight" state="frozen"/>
      <selection pane="bottomRight" activeCell="D60" sqref="D60"/>
      <colBreaks count="9" manualBreakCount="9">
        <brk id="8" max="1048575" man="1"/>
        <brk id="13" max="1048575" man="1"/>
        <brk id="18" max="1048575" man="1"/>
        <brk id="23" max="1048575" man="1"/>
        <brk id="28" max="1048575" man="1"/>
        <brk id="33" max="1048575" man="1"/>
        <brk id="38" max="1048575" man="1"/>
        <brk id="43" max="1048575" man="1"/>
        <brk id="48" max="1048575" man="1"/>
      </colBreaks>
      <pageMargins left="0.7" right="0.7" top="0.75" bottom="0.75" header="0.3" footer="0.3"/>
      <pageSetup paperSize="5" scale="47" fitToHeight="3" orientation="landscape" r:id="rId1"/>
      <headerFooter>
        <oddHeader>&amp;RFINAL COPY</oddHeader>
        <oddFooter>&amp;L&amp;Z&amp;F
&amp;A&amp;R&amp;D
Page &amp;P of &amp;N</oddFooter>
      </headerFooter>
    </customSheetView>
    <customSheetView guid="{BE213145-94B6-4D67-83E8-F1C2631C8B17}" scale="90" showPageBreaks="1" fitToPage="1" hiddenColumns="1" state="hidden">
      <pane xSplit="3" ySplit="3" topLeftCell="E76" activePane="bottomRight" state="frozen"/>
      <selection pane="bottomRight" activeCell="D60" sqref="D60"/>
      <colBreaks count="9" manualBreakCount="9">
        <brk id="8" max="1048575" man="1"/>
        <brk id="13" max="1048575" man="1"/>
        <brk id="18" max="1048575" man="1"/>
        <brk id="23" max="1048575" man="1"/>
        <brk id="28" max="1048575" man="1"/>
        <brk id="33" max="1048575" man="1"/>
        <brk id="38" max="1048575" man="1"/>
        <brk id="43" max="1048575" man="1"/>
        <brk id="48" max="1048575" man="1"/>
      </colBreaks>
      <pageMargins left="0.7" right="0.7" top="0.75" bottom="0.75" header="0.3" footer="0.3"/>
      <pageSetup paperSize="5" scale="47" fitToHeight="3" orientation="landscape" r:id="rId2"/>
      <headerFooter>
        <oddHeader>&amp;RFINAL COPY</oddHeader>
        <oddFooter>&amp;L&amp;Z&amp;F
&amp;A&amp;R&amp;D
Page &amp;P of &amp;N</oddFooter>
      </headerFooter>
    </customSheetView>
  </customSheetViews>
  <mergeCells count="29">
    <mergeCell ref="I2:M2"/>
    <mergeCell ref="N2:R2"/>
    <mergeCell ref="A2:C2"/>
    <mergeCell ref="A80:C80"/>
    <mergeCell ref="I80:L87"/>
    <mergeCell ref="N80:Q87"/>
    <mergeCell ref="D2:H2"/>
    <mergeCell ref="A85:C85"/>
    <mergeCell ref="A86:C86"/>
    <mergeCell ref="A87:C87"/>
    <mergeCell ref="D80:G87"/>
    <mergeCell ref="A84:C84"/>
    <mergeCell ref="A83:C83"/>
    <mergeCell ref="A81:C81"/>
    <mergeCell ref="A82:C82"/>
    <mergeCell ref="S2:W2"/>
    <mergeCell ref="AW2:BA2"/>
    <mergeCell ref="X80:AA87"/>
    <mergeCell ref="AC80:AF87"/>
    <mergeCell ref="AH80:AK87"/>
    <mergeCell ref="AM80:AP87"/>
    <mergeCell ref="AR80:AU87"/>
    <mergeCell ref="AW80:AZ87"/>
    <mergeCell ref="AC2:AG2"/>
    <mergeCell ref="AH2:AL2"/>
    <mergeCell ref="AM2:AQ2"/>
    <mergeCell ref="AR2:AV2"/>
    <mergeCell ref="X2:AB2"/>
    <mergeCell ref="S80:V87"/>
  </mergeCells>
  <phoneticPr fontId="6" type="noConversion"/>
  <pageMargins left="0.7" right="0.7" top="0.75" bottom="0.75" header="0.3" footer="0.3"/>
  <pageSetup paperSize="5" scale="47" fitToHeight="3" orientation="landscape" r:id="rId3"/>
  <headerFooter>
    <oddHeader>&amp;RFINAL COPY</oddHeader>
    <oddFooter>&amp;L&amp;Z&amp;F
&amp;A&amp;R&amp;D
Page &amp;P of &amp;N</oddFooter>
  </headerFooter>
  <colBreaks count="9" manualBreakCount="9">
    <brk id="8" max="1048575" man="1"/>
    <brk id="13" max="1048575" man="1"/>
    <brk id="18" max="1048575" man="1"/>
    <brk id="23" max="1048575" man="1"/>
    <brk id="28" max="1048575" man="1"/>
    <brk id="33" max="1048575" man="1"/>
    <brk id="38" max="1048575" man="1"/>
    <brk id="43" max="1048575" man="1"/>
    <brk id="48" max="1048575" man="1"/>
  </colBreaks>
  <legacyDrawing r:id="rId4"/>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sheetPr>
  <dimension ref="A1:BE2021"/>
  <sheetViews>
    <sheetView zoomScale="80" zoomScaleNormal="80" zoomScaleSheetLayoutView="90" zoomScalePageLayoutView="90" workbookViewId="0">
      <selection activeCell="BG2037" sqref="BG2037"/>
    </sheetView>
  </sheetViews>
  <sheetFormatPr defaultColWidth="9.140625" defaultRowHeight="15" x14ac:dyDescent="0.25"/>
  <cols>
    <col min="1" max="1" width="20.140625" style="17" customWidth="1"/>
    <col min="2" max="2" width="20" style="17" customWidth="1"/>
    <col min="3" max="3" width="14.140625" style="17" customWidth="1"/>
    <col min="4" max="4" width="19.85546875" style="90" bestFit="1" customWidth="1"/>
    <col min="5" max="5" width="18.28515625" style="88" bestFit="1" customWidth="1"/>
    <col min="6" max="6" width="12.42578125" style="31" bestFit="1" customWidth="1"/>
    <col min="7" max="7" width="14" style="31" bestFit="1" customWidth="1"/>
    <col min="8" max="8" width="16.28515625" style="31" customWidth="1"/>
    <col min="9" max="9" width="49.5703125" style="310" hidden="1" customWidth="1"/>
    <col min="10" max="10" width="9.42578125" style="17" hidden="1" customWidth="1"/>
    <col min="11" max="11" width="14.5703125" style="31" hidden="1" customWidth="1"/>
    <col min="12" max="13" width="9.140625" style="17" hidden="1" customWidth="1"/>
    <col min="14" max="15" width="11.5703125" style="31" hidden="1" customWidth="1"/>
    <col min="16" max="16" width="11.7109375" style="31" hidden="1" customWidth="1"/>
    <col min="17" max="17" width="23.42578125" style="31" hidden="1" customWidth="1"/>
    <col min="18" max="18" width="17.42578125" style="31" hidden="1" customWidth="1"/>
    <col min="19" max="19" width="12.5703125" style="31" hidden="1" customWidth="1"/>
    <col min="20" max="20" width="18" style="31" hidden="1" customWidth="1"/>
    <col min="21" max="21" width="15.140625" style="31" hidden="1" customWidth="1"/>
    <col min="22" max="22" width="14.85546875" style="31" hidden="1" customWidth="1"/>
    <col min="23" max="23" width="17" style="31" hidden="1" customWidth="1"/>
    <col min="24" max="24" width="14.140625" style="31" hidden="1" customWidth="1"/>
    <col min="25" max="25" width="19.5703125" style="31" hidden="1" customWidth="1"/>
    <col min="26" max="27" width="9.140625" style="31" hidden="1" customWidth="1"/>
    <col min="28" max="28" width="10.7109375" style="31" hidden="1" customWidth="1"/>
    <col min="29" max="30" width="9.140625" style="31" hidden="1" customWidth="1"/>
    <col min="31" max="32" width="11.140625" style="31" hidden="1" customWidth="1"/>
    <col min="33" max="35" width="9.140625" style="31" hidden="1" customWidth="1"/>
    <col min="36" max="36" width="9.140625" style="17" hidden="1" customWidth="1"/>
    <col min="37" max="37" width="8.28515625" style="17" hidden="1" customWidth="1"/>
    <col min="38" max="39" width="9.85546875" style="17" hidden="1" customWidth="1"/>
    <col min="40" max="41" width="12" style="17" hidden="1" customWidth="1"/>
    <col min="42" max="42" width="10.140625" style="17" hidden="1" customWidth="1"/>
    <col min="43" max="43" width="16.28515625" style="17" hidden="1" customWidth="1"/>
    <col min="44" max="44" width="9.140625" style="17" hidden="1" customWidth="1"/>
    <col min="45" max="45" width="10.140625" style="17" hidden="1" customWidth="1"/>
    <col min="46" max="47" width="9.140625" style="17" hidden="1" customWidth="1"/>
    <col min="48" max="50" width="12" style="17" hidden="1" customWidth="1"/>
    <col min="51" max="51" width="10.140625" style="17" hidden="1" customWidth="1"/>
    <col min="52" max="53" width="9.140625" style="17" hidden="1" customWidth="1"/>
    <col min="54" max="54" width="12" style="17" hidden="1" customWidth="1"/>
    <col min="55" max="57" width="9.140625" style="17" hidden="1" customWidth="1"/>
    <col min="58" max="16384" width="9.140625" style="17"/>
  </cols>
  <sheetData>
    <row r="1" spans="1:17" ht="18.75" customHeight="1" x14ac:dyDescent="0.25">
      <c r="A1" s="709" t="s">
        <v>276</v>
      </c>
      <c r="B1" s="709"/>
      <c r="C1" s="709"/>
      <c r="D1" s="709"/>
      <c r="E1" s="709"/>
      <c r="F1" s="709"/>
      <c r="G1" s="709"/>
      <c r="H1" s="709"/>
      <c r="I1" s="710" t="s">
        <v>280</v>
      </c>
      <c r="J1" s="206"/>
    </row>
    <row r="2" spans="1:17" ht="15.75" customHeight="1" x14ac:dyDescent="0.25">
      <c r="A2" s="708" t="s">
        <v>1102</v>
      </c>
      <c r="B2" s="708"/>
      <c r="C2" s="708"/>
      <c r="D2" s="708"/>
      <c r="E2" s="708"/>
      <c r="F2" s="708"/>
      <c r="G2" s="708"/>
      <c r="H2" s="708"/>
      <c r="I2" s="711"/>
      <c r="J2" s="207"/>
    </row>
    <row r="3" spans="1:17" x14ac:dyDescent="0.25">
      <c r="A3" s="700" t="s">
        <v>268</v>
      </c>
      <c r="B3" s="701"/>
      <c r="C3" s="702"/>
      <c r="D3" s="222" t="str">
        <f>'Appendix J-2'!B4</f>
        <v>Visit</v>
      </c>
      <c r="E3" s="223" t="str">
        <f>'Appendix J-2'!C4</f>
        <v>15 minutes</v>
      </c>
      <c r="F3" s="690"/>
      <c r="G3" s="690"/>
      <c r="H3" s="690"/>
      <c r="I3" s="687" t="s">
        <v>1083</v>
      </c>
      <c r="J3" s="205"/>
    </row>
    <row r="4" spans="1:17" x14ac:dyDescent="0.25">
      <c r="A4" s="147" t="s">
        <v>26</v>
      </c>
      <c r="B4" s="147" t="s">
        <v>27</v>
      </c>
      <c r="C4" s="28" t="s">
        <v>166</v>
      </c>
      <c r="D4" s="91" t="s">
        <v>154</v>
      </c>
      <c r="E4" s="89" t="s">
        <v>155</v>
      </c>
      <c r="F4" s="34" t="s">
        <v>158</v>
      </c>
      <c r="G4" s="35" t="s">
        <v>156</v>
      </c>
      <c r="H4" s="51" t="s">
        <v>157</v>
      </c>
      <c r="I4" s="688"/>
      <c r="J4" s="205"/>
    </row>
    <row r="5" spans="1:17" ht="15" customHeight="1" x14ac:dyDescent="0.25">
      <c r="A5" s="21">
        <f>'Non Factor D Back Up'!B5</f>
        <v>1182</v>
      </c>
      <c r="B5" s="148"/>
      <c r="C5" s="32">
        <v>1</v>
      </c>
      <c r="D5" s="247">
        <f>'Appendix J-2'!D4</f>
        <v>648</v>
      </c>
      <c r="E5" s="22">
        <f>IF(F5=0,0,F5/D5)</f>
        <v>18.537037037037038</v>
      </c>
      <c r="F5" s="247">
        <f>'Appendix J-2'!F4</f>
        <v>12012</v>
      </c>
      <c r="G5" s="24">
        <f>H5/F5</f>
        <v>13.708791208791208</v>
      </c>
      <c r="H5" s="250">
        <f>'Appendix J-2'!H4</f>
        <v>164670</v>
      </c>
      <c r="I5" s="688"/>
      <c r="J5" s="205"/>
    </row>
    <row r="6" spans="1:17" x14ac:dyDescent="0.25">
      <c r="A6" s="21">
        <f>'Non Factor D Back Up'!C5</f>
        <v>1288</v>
      </c>
      <c r="B6" s="149">
        <f>(A6-A5)/A5</f>
        <v>8.9678510998307953E-2</v>
      </c>
      <c r="C6" s="20">
        <v>2</v>
      </c>
      <c r="D6" s="247">
        <f>'Appendix J-2'!I4</f>
        <v>624</v>
      </c>
      <c r="E6" s="22">
        <f t="shared" ref="E6:E13" si="0">IF(F6=0,0,F6/D6)</f>
        <v>27.080128205128204</v>
      </c>
      <c r="F6" s="247">
        <f>'Appendix J-2'!K4</f>
        <v>16898</v>
      </c>
      <c r="G6" s="24">
        <f>H6/F6</f>
        <v>13.300612498520534</v>
      </c>
      <c r="H6" s="250">
        <f>'Appendix J-2'!M4</f>
        <v>224753.75</v>
      </c>
      <c r="I6" s="688"/>
      <c r="J6" s="205"/>
    </row>
    <row r="7" spans="1:17" x14ac:dyDescent="0.25">
      <c r="A7" s="21">
        <f>'Non Factor D Back Up'!D5</f>
        <v>1495</v>
      </c>
      <c r="B7" s="149">
        <f t="shared" ref="B7:B19" si="1">(A7-A6)/A6</f>
        <v>0.16071428571428573</v>
      </c>
      <c r="C7" s="20">
        <v>3</v>
      </c>
      <c r="D7" s="247">
        <f>'Appendix J-2'!N4</f>
        <v>816</v>
      </c>
      <c r="E7" s="22">
        <f t="shared" si="0"/>
        <v>28.301470588235293</v>
      </c>
      <c r="F7" s="247">
        <f>'Appendix J-2'!P4</f>
        <v>23094</v>
      </c>
      <c r="G7" s="24">
        <f>H7/F7</f>
        <v>13.587224820299644</v>
      </c>
      <c r="H7" s="248">
        <f>'Appendix J-2'!R4</f>
        <v>313783.37</v>
      </c>
      <c r="I7" s="688"/>
      <c r="J7" s="205"/>
    </row>
    <row r="8" spans="1:17" x14ac:dyDescent="0.25">
      <c r="A8" s="21">
        <f>'Non Factor D Back Up'!E5</f>
        <v>1484</v>
      </c>
      <c r="B8" s="149">
        <f t="shared" si="1"/>
        <v>-7.3578595317725752E-3</v>
      </c>
      <c r="C8" s="20">
        <v>4</v>
      </c>
      <c r="D8" s="247">
        <f>'Appendix J-2'!S4</f>
        <v>740</v>
      </c>
      <c r="E8" s="23">
        <f t="shared" si="0"/>
        <v>29.155405405405407</v>
      </c>
      <c r="F8" s="247">
        <f>'Appendix J-2'!U4</f>
        <v>21575</v>
      </c>
      <c r="G8" s="25">
        <f>H8/F8</f>
        <v>13.731700579374277</v>
      </c>
      <c r="H8" s="248">
        <f>'Appendix J-2'!W4</f>
        <v>296261.44</v>
      </c>
      <c r="I8" s="688"/>
      <c r="J8" s="205"/>
    </row>
    <row r="9" spans="1:17" x14ac:dyDescent="0.25">
      <c r="A9" s="21">
        <f>'Non Factor D Back Up'!F5</f>
        <v>1528</v>
      </c>
      <c r="B9" s="149">
        <f t="shared" si="1"/>
        <v>2.9649595687331536E-2</v>
      </c>
      <c r="C9" s="20">
        <f t="shared" ref="C9:C19" si="2">C8+1</f>
        <v>5</v>
      </c>
      <c r="D9" s="247">
        <f>'Appendix J-2'!X4</f>
        <v>817</v>
      </c>
      <c r="E9" s="23">
        <f t="shared" si="0"/>
        <v>25.648102815177477</v>
      </c>
      <c r="F9" s="247">
        <f>'Appendix J-2'!Z4</f>
        <v>20954.5</v>
      </c>
      <c r="G9" s="25">
        <f>H9/F9</f>
        <v>13.727391729700065</v>
      </c>
      <c r="H9" s="248">
        <f>'Appendix J-2'!AB4</f>
        <v>287650.63</v>
      </c>
      <c r="I9" s="688"/>
      <c r="J9" s="205"/>
    </row>
    <row r="10" spans="1:17" x14ac:dyDescent="0.25">
      <c r="A10" s="21">
        <f>'Non Factor D Back Up'!G5</f>
        <v>1592</v>
      </c>
      <c r="B10" s="149">
        <f t="shared" si="1"/>
        <v>4.1884816753926704E-2</v>
      </c>
      <c r="C10" s="20">
        <f t="shared" si="2"/>
        <v>6</v>
      </c>
      <c r="D10" s="249">
        <f>'Appendix J-2'!AC4</f>
        <v>1412</v>
      </c>
      <c r="E10" s="23">
        <f t="shared" si="0"/>
        <v>22.263456090651559</v>
      </c>
      <c r="F10" s="249">
        <f>'Appendix J-2'!AE4</f>
        <v>31436</v>
      </c>
      <c r="G10" s="25">
        <f t="shared" ref="G10:G13" si="3">H10/F10</f>
        <v>13.733854498027739</v>
      </c>
      <c r="H10" s="248">
        <f>'Appendix J-2'!AG4</f>
        <v>431737.45</v>
      </c>
      <c r="I10" s="688"/>
      <c r="J10" s="205"/>
      <c r="N10" s="87" t="s">
        <v>509</v>
      </c>
    </row>
    <row r="11" spans="1:17" x14ac:dyDescent="0.25">
      <c r="A11" s="21">
        <f>'Non Factor D Back Up'!H5</f>
        <v>1642</v>
      </c>
      <c r="B11" s="149">
        <f t="shared" si="1"/>
        <v>3.1407035175879394E-2</v>
      </c>
      <c r="C11" s="20">
        <f t="shared" si="2"/>
        <v>7</v>
      </c>
      <c r="D11" s="249">
        <f>'Appendix J-2'!AH4</f>
        <v>1296</v>
      </c>
      <c r="E11" s="23">
        <f t="shared" si="0"/>
        <v>34.846450617283949</v>
      </c>
      <c r="F11" s="249">
        <f>'Appendix J-2'!AJ4</f>
        <v>45161</v>
      </c>
      <c r="G11" s="25">
        <f t="shared" si="3"/>
        <v>13.738425854166206</v>
      </c>
      <c r="H11" s="248">
        <f>'Appendix J-2'!AL4</f>
        <v>620441.05000000005</v>
      </c>
      <c r="I11" s="688"/>
      <c r="J11" s="205"/>
      <c r="N11" s="31" t="s">
        <v>506</v>
      </c>
      <c r="O11" s="31">
        <v>2014</v>
      </c>
      <c r="P11" s="31">
        <v>911</v>
      </c>
    </row>
    <row r="12" spans="1:17" x14ac:dyDescent="0.25">
      <c r="A12" s="21">
        <f>'Non Factor D Back Up'!I5</f>
        <v>1675</v>
      </c>
      <c r="B12" s="149">
        <f t="shared" si="1"/>
        <v>2.0097442143727162E-2</v>
      </c>
      <c r="C12" s="20">
        <f t="shared" si="2"/>
        <v>8</v>
      </c>
      <c r="D12" s="249">
        <f>'Appendix J-2'!AM4</f>
        <v>898</v>
      </c>
      <c r="E12" s="23">
        <f t="shared" si="0"/>
        <v>50.854120267260576</v>
      </c>
      <c r="F12" s="249">
        <f>'Appendix J-2'!AO4</f>
        <v>45667</v>
      </c>
      <c r="G12" s="25">
        <f t="shared" si="3"/>
        <v>13.725913022532684</v>
      </c>
      <c r="H12" s="248">
        <f>'Appendix J-2'!AQ4</f>
        <v>626821.27</v>
      </c>
      <c r="I12" s="688"/>
      <c r="J12" s="205"/>
      <c r="N12" s="31" t="s">
        <v>507</v>
      </c>
      <c r="O12" s="31">
        <v>2015</v>
      </c>
      <c r="P12" s="31">
        <v>977</v>
      </c>
    </row>
    <row r="13" spans="1:17" x14ac:dyDescent="0.25">
      <c r="A13" s="21">
        <f>'Non Factor D Back Up'!J5</f>
        <v>1739</v>
      </c>
      <c r="B13" s="149">
        <f t="shared" si="1"/>
        <v>3.8208955223880597E-2</v>
      </c>
      <c r="C13" s="20">
        <f t="shared" si="2"/>
        <v>9</v>
      </c>
      <c r="D13" s="249">
        <f>'Appendix J-2'!AR4</f>
        <v>852</v>
      </c>
      <c r="E13" s="23">
        <f t="shared" si="0"/>
        <v>43.724178403755872</v>
      </c>
      <c r="F13" s="249">
        <f>'Appendix J-2'!AT4</f>
        <v>37253</v>
      </c>
      <c r="G13" s="25">
        <f t="shared" si="3"/>
        <v>15.743788151289829</v>
      </c>
      <c r="H13" s="248">
        <f>'Appendix J-2'!AV4</f>
        <v>586503.34</v>
      </c>
      <c r="I13" s="688"/>
      <c r="J13" s="205"/>
      <c r="N13" s="31" t="s">
        <v>508</v>
      </c>
      <c r="O13" s="31">
        <v>2016</v>
      </c>
      <c r="P13" s="31">
        <v>965</v>
      </c>
    </row>
    <row r="14" spans="1:17" x14ac:dyDescent="0.25">
      <c r="A14" s="21">
        <f>'Non Factor D Back Up'!K5</f>
        <v>1752</v>
      </c>
      <c r="B14" s="149">
        <f t="shared" si="1"/>
        <v>7.4755606670500289E-3</v>
      </c>
      <c r="C14" s="20">
        <f t="shared" si="2"/>
        <v>10</v>
      </c>
      <c r="D14" s="21">
        <f>ROUND(IF(TREND($D$5:$D$13,$A$5:$A$13,A14)&lt;951,TREND($D$5:$D$13,$A$5:$A$13,A14),951),0)</f>
        <v>951</v>
      </c>
      <c r="E14" s="22">
        <f>IF(TREND($E$5:$E$13,$C$5:$C$13,C14)&lt;400,TREND($E$5:$E$13,$C$5:$C$13,C14),400)</f>
        <v>46.012418191933037</v>
      </c>
      <c r="F14" s="21">
        <f>D14*E14</f>
        <v>43757.80970052832</v>
      </c>
      <c r="G14" s="25">
        <f>'DDS Rates for Amend'!B17</f>
        <v>16.420000000000002</v>
      </c>
      <c r="H14" s="33">
        <f>F14*G14</f>
        <v>718503.23528267513</v>
      </c>
      <c r="I14" s="688"/>
      <c r="J14" s="205"/>
      <c r="P14" s="87">
        <f>AVERAGE(P11:P13)</f>
        <v>951</v>
      </c>
      <c r="Q14" s="87" t="s">
        <v>505</v>
      </c>
    </row>
    <row r="15" spans="1:17" x14ac:dyDescent="0.25">
      <c r="A15" s="21">
        <f>'Non Factor D Back Up'!L$5</f>
        <v>1822</v>
      </c>
      <c r="B15" s="149">
        <f t="shared" si="1"/>
        <v>3.9954337899543377E-2</v>
      </c>
      <c r="C15" s="20">
        <f t="shared" si="2"/>
        <v>11</v>
      </c>
      <c r="D15" s="21">
        <f>ROUND(IF(TREND($D$5:$D$13,$A$5:$A$13,A15)&lt;951,TREND($D$5:$D$13,$A$5:$A$13,A15),951),0)</f>
        <v>951</v>
      </c>
      <c r="E15" s="22">
        <f t="shared" ref="E15:E19" si="4">IF(TREND($E$5:$E$13,$C$5:$C$13,C15)&lt;400,TREND($E$5:$E$13,$C$5:$C$13,C15),400)</f>
        <v>48.983560731876636</v>
      </c>
      <c r="F15" s="21">
        <f t="shared" ref="F15:F19" si="5">D15*E15</f>
        <v>46583.366256014684</v>
      </c>
      <c r="G15" s="24">
        <f>'DDS Rates for Amend'!B18</f>
        <v>16.846920000000001</v>
      </c>
      <c r="H15" s="33">
        <f t="shared" ref="H15:H19" si="6">F15*G15</f>
        <v>784786.2446457789</v>
      </c>
      <c r="I15" s="688"/>
      <c r="J15" s="205"/>
    </row>
    <row r="16" spans="1:17" x14ac:dyDescent="0.25">
      <c r="A16" s="21">
        <f>'Non Factor D Back Up'!M$5</f>
        <v>1872</v>
      </c>
      <c r="B16" s="149">
        <f t="shared" si="1"/>
        <v>2.7442371020856202E-2</v>
      </c>
      <c r="C16" s="20">
        <f t="shared" si="2"/>
        <v>12</v>
      </c>
      <c r="D16" s="21">
        <f t="shared" ref="D16:D19" si="7">ROUND(IF(TREND($D$5:$D$13,$A$5:$A$13,A16)&lt;951,TREND($D$5:$D$13,$A$5:$A$13,A16),951),0)</f>
        <v>951</v>
      </c>
      <c r="E16" s="22">
        <f t="shared" si="4"/>
        <v>51.954703271820222</v>
      </c>
      <c r="F16" s="21">
        <f t="shared" si="5"/>
        <v>49408.922811501034</v>
      </c>
      <c r="G16" s="24">
        <f>'DDS Rates for Amend'!B19</f>
        <v>17.284939919999999</v>
      </c>
      <c r="H16" s="33">
        <f t="shared" si="6"/>
        <v>854030.26230871282</v>
      </c>
      <c r="I16" s="688"/>
      <c r="J16" s="205"/>
    </row>
    <row r="17" spans="1:12" x14ac:dyDescent="0.25">
      <c r="A17" s="21">
        <f>'Non Factor D Back Up'!N$5</f>
        <v>1902</v>
      </c>
      <c r="B17" s="149">
        <f t="shared" si="1"/>
        <v>1.6025641025641024E-2</v>
      </c>
      <c r="C17" s="20">
        <f t="shared" si="2"/>
        <v>13</v>
      </c>
      <c r="D17" s="21">
        <f t="shared" si="7"/>
        <v>951</v>
      </c>
      <c r="E17" s="22">
        <f t="shared" si="4"/>
        <v>54.925845811763821</v>
      </c>
      <c r="F17" s="21">
        <f t="shared" si="5"/>
        <v>52234.479366987391</v>
      </c>
      <c r="G17" s="24">
        <f>'DDS Rates for Amend'!B20</f>
        <v>17.734348357919998</v>
      </c>
      <c r="H17" s="33">
        <f t="shared" si="6"/>
        <v>926344.45338873891</v>
      </c>
      <c r="I17" s="688"/>
      <c r="J17" s="205"/>
    </row>
    <row r="18" spans="1:12" x14ac:dyDescent="0.25">
      <c r="A18" s="21">
        <f>'Non Factor D Back Up'!O$5</f>
        <v>1932</v>
      </c>
      <c r="B18" s="149">
        <f t="shared" si="1"/>
        <v>1.5772870662460567E-2</v>
      </c>
      <c r="C18" s="20">
        <f t="shared" si="2"/>
        <v>14</v>
      </c>
      <c r="D18" s="21">
        <f t="shared" si="7"/>
        <v>951</v>
      </c>
      <c r="E18" s="22">
        <f t="shared" si="4"/>
        <v>57.896988351707421</v>
      </c>
      <c r="F18" s="21">
        <f t="shared" si="5"/>
        <v>55060.035922473755</v>
      </c>
      <c r="G18" s="24">
        <f>'DDS Rates for Amend'!B21</f>
        <v>18.195441415225918</v>
      </c>
      <c r="H18" s="33">
        <f t="shared" si="6"/>
        <v>1001841.6579476057</v>
      </c>
      <c r="I18" s="688"/>
      <c r="J18" s="205"/>
    </row>
    <row r="19" spans="1:12" x14ac:dyDescent="0.25">
      <c r="A19" s="21">
        <f>'Non Factor D Back Up'!P$5</f>
        <v>1962</v>
      </c>
      <c r="B19" s="149">
        <f t="shared" si="1"/>
        <v>1.5527950310559006E-2</v>
      </c>
      <c r="C19" s="20">
        <f t="shared" si="2"/>
        <v>15</v>
      </c>
      <c r="D19" s="21">
        <f t="shared" si="7"/>
        <v>951</v>
      </c>
      <c r="E19" s="22">
        <f t="shared" si="4"/>
        <v>60.86813089165102</v>
      </c>
      <c r="F19" s="21">
        <f t="shared" si="5"/>
        <v>57885.592477960119</v>
      </c>
      <c r="G19" s="24">
        <f>'DDS Rates for Amend'!B22</f>
        <v>18.668522892021791</v>
      </c>
      <c r="H19" s="33">
        <f t="shared" si="6"/>
        <v>1080638.5082930429</v>
      </c>
      <c r="I19" s="689"/>
      <c r="J19" s="205"/>
      <c r="K19" s="285">
        <f>SUM(H5:H19)</f>
        <v>8918766.6618665531</v>
      </c>
      <c r="L19" s="17">
        <f>IF(K19='Appendix J-2'!CD4,0,error)</f>
        <v>0</v>
      </c>
    </row>
    <row r="20" spans="1:12" x14ac:dyDescent="0.25">
      <c r="C20" s="19"/>
      <c r="D20" s="153"/>
      <c r="E20" s="213"/>
      <c r="F20" s="153"/>
      <c r="G20" s="214"/>
      <c r="H20" s="214"/>
      <c r="I20" s="307"/>
      <c r="J20" s="18"/>
    </row>
    <row r="21" spans="1:12" x14ac:dyDescent="0.25">
      <c r="A21" s="700" t="s">
        <v>149</v>
      </c>
      <c r="B21" s="701"/>
      <c r="C21" s="702"/>
      <c r="D21" s="222" t="str">
        <f>'Appendix J-2'!B9</f>
        <v>Visit</v>
      </c>
      <c r="E21" s="223" t="str">
        <f>'Appendix J-2'!C9</f>
        <v>15 minutes</v>
      </c>
      <c r="F21" s="690"/>
      <c r="G21" s="690"/>
      <c r="H21" s="690"/>
      <c r="I21" s="687" t="s">
        <v>1148</v>
      </c>
      <c r="J21" s="205"/>
    </row>
    <row r="22" spans="1:12" x14ac:dyDescent="0.25">
      <c r="A22" s="147" t="s">
        <v>26</v>
      </c>
      <c r="B22" s="147" t="s">
        <v>27</v>
      </c>
      <c r="C22" s="28" t="s">
        <v>166</v>
      </c>
      <c r="D22" s="91" t="s">
        <v>154</v>
      </c>
      <c r="E22" s="89" t="s">
        <v>155</v>
      </c>
      <c r="F22" s="34" t="s">
        <v>158</v>
      </c>
      <c r="G22" s="35" t="s">
        <v>156</v>
      </c>
      <c r="H22" s="51" t="s">
        <v>157</v>
      </c>
      <c r="I22" s="688"/>
      <c r="J22" s="205"/>
    </row>
    <row r="23" spans="1:12" ht="15" customHeight="1" x14ac:dyDescent="0.25">
      <c r="A23" s="21">
        <f>A$5</f>
        <v>1182</v>
      </c>
      <c r="B23" s="148"/>
      <c r="C23" s="32">
        <v>1</v>
      </c>
      <c r="D23" s="247">
        <f>'Appendix J-2'!D9</f>
        <v>24</v>
      </c>
      <c r="E23" s="22">
        <f>F23/D23</f>
        <v>1929.7916666666667</v>
      </c>
      <c r="F23" s="247">
        <f>'Appendix J-2'!F9</f>
        <v>46315</v>
      </c>
      <c r="G23" s="24">
        <f>H23/F23</f>
        <v>4.0798926913526934</v>
      </c>
      <c r="H23" s="250">
        <f>'Appendix J-2'!H9</f>
        <v>188960.23</v>
      </c>
      <c r="I23" s="688"/>
      <c r="J23" s="205"/>
    </row>
    <row r="24" spans="1:12" x14ac:dyDescent="0.25">
      <c r="A24" s="21">
        <f>A$6</f>
        <v>1288</v>
      </c>
      <c r="B24" s="149">
        <f>(A24-A23)/A23</f>
        <v>8.9678510998307953E-2</v>
      </c>
      <c r="C24" s="20">
        <v>2</v>
      </c>
      <c r="D24" s="247">
        <f>'Appendix J-2'!I9</f>
        <v>6</v>
      </c>
      <c r="E24" s="22">
        <f>F24/D24</f>
        <v>3254</v>
      </c>
      <c r="F24" s="247">
        <f>'Appendix J-2'!K9</f>
        <v>19524</v>
      </c>
      <c r="G24" s="24">
        <f>H24/F24</f>
        <v>4.08</v>
      </c>
      <c r="H24" s="250">
        <f>'Appendix J-2'!M9</f>
        <v>79657.919999999998</v>
      </c>
      <c r="I24" s="688"/>
      <c r="J24" s="205"/>
    </row>
    <row r="25" spans="1:12" x14ac:dyDescent="0.25">
      <c r="A25" s="21">
        <f>A$7</f>
        <v>1495</v>
      </c>
      <c r="B25" s="149">
        <f t="shared" ref="B25:B37" si="8">(A25-A24)/A24</f>
        <v>0.16071428571428573</v>
      </c>
      <c r="C25" s="20">
        <v>3</v>
      </c>
      <c r="D25" s="247">
        <f>'Appendix J-2'!N9</f>
        <v>2</v>
      </c>
      <c r="E25" s="22">
        <f>F25/D25</f>
        <v>5232</v>
      </c>
      <c r="F25" s="249">
        <f>'Appendix J-2'!P9</f>
        <v>10464</v>
      </c>
      <c r="G25" s="24">
        <f>H25/F25</f>
        <v>4.08</v>
      </c>
      <c r="H25" s="248">
        <f>'Appendix J-2'!R9</f>
        <v>42693.120000000003</v>
      </c>
      <c r="I25" s="688"/>
      <c r="J25" s="205"/>
    </row>
    <row r="26" spans="1:12" x14ac:dyDescent="0.25">
      <c r="A26" s="21">
        <f>A$8</f>
        <v>1484</v>
      </c>
      <c r="B26" s="149">
        <f t="shared" si="8"/>
        <v>-7.3578595317725752E-3</v>
      </c>
      <c r="C26" s="20">
        <f>C25+1</f>
        <v>4</v>
      </c>
      <c r="D26" s="247">
        <f>'Appendix J-2'!S9</f>
        <v>5</v>
      </c>
      <c r="E26" s="23">
        <f t="shared" ref="E26:E31" si="9">IF(F26=0,0,F26/D26)</f>
        <v>1630.4</v>
      </c>
      <c r="F26" s="249">
        <f>'Appendix J-2'!U9</f>
        <v>8152</v>
      </c>
      <c r="G26" s="25">
        <f>H26/F26</f>
        <v>4.08</v>
      </c>
      <c r="H26" s="248">
        <f>'Appendix J-2'!W9</f>
        <v>33260.160000000003</v>
      </c>
      <c r="I26" s="688"/>
      <c r="J26" s="205"/>
    </row>
    <row r="27" spans="1:12" x14ac:dyDescent="0.25">
      <c r="A27" s="21">
        <f>A$9</f>
        <v>1528</v>
      </c>
      <c r="B27" s="149">
        <f t="shared" si="8"/>
        <v>2.9649595687331536E-2</v>
      </c>
      <c r="C27" s="20">
        <f t="shared" ref="C27:C37" si="10">C26+1</f>
        <v>5</v>
      </c>
      <c r="D27" s="247">
        <f>'Appendix J-2'!X9</f>
        <v>0</v>
      </c>
      <c r="E27" s="23">
        <f t="shared" si="9"/>
        <v>0</v>
      </c>
      <c r="F27" s="249">
        <f>'Appendix J-2'!Z9</f>
        <v>0</v>
      </c>
      <c r="G27" s="25" t="e">
        <f>H27/F27</f>
        <v>#DIV/0!</v>
      </c>
      <c r="H27" s="248">
        <f>'Appendix J-2'!AB9</f>
        <v>0</v>
      </c>
      <c r="I27" s="688"/>
      <c r="J27" s="205"/>
    </row>
    <row r="28" spans="1:12" x14ac:dyDescent="0.25">
      <c r="A28" s="21">
        <f>A$10</f>
        <v>1592</v>
      </c>
      <c r="B28" s="149">
        <f t="shared" si="8"/>
        <v>4.1884816753926704E-2</v>
      </c>
      <c r="C28" s="20">
        <f t="shared" si="10"/>
        <v>6</v>
      </c>
      <c r="D28" s="249">
        <f>'Appendix J-2'!AC9</f>
        <v>0</v>
      </c>
      <c r="E28" s="23">
        <f t="shared" si="9"/>
        <v>0</v>
      </c>
      <c r="F28" s="249">
        <f>'Appendix J-2'!AE9</f>
        <v>0</v>
      </c>
      <c r="G28" s="25" t="e">
        <f t="shared" ref="G28:G31" si="11">H28/F28</f>
        <v>#DIV/0!</v>
      </c>
      <c r="H28" s="248">
        <f>'Appendix J-2'!AG9</f>
        <v>0</v>
      </c>
      <c r="I28" s="688"/>
      <c r="J28" s="205"/>
    </row>
    <row r="29" spans="1:12" x14ac:dyDescent="0.25">
      <c r="A29" s="21">
        <f>A$11</f>
        <v>1642</v>
      </c>
      <c r="B29" s="149">
        <f t="shared" si="8"/>
        <v>3.1407035175879394E-2</v>
      </c>
      <c r="C29" s="20">
        <f t="shared" si="10"/>
        <v>7</v>
      </c>
      <c r="D29" s="249">
        <f>'Appendix J-2'!AH9</f>
        <v>0</v>
      </c>
      <c r="E29" s="23">
        <f t="shared" si="9"/>
        <v>0</v>
      </c>
      <c r="F29" s="249">
        <f>'Appendix J-2'!AJ9</f>
        <v>0</v>
      </c>
      <c r="G29" s="25" t="e">
        <f t="shared" si="11"/>
        <v>#DIV/0!</v>
      </c>
      <c r="H29" s="248">
        <f>'Appendix J-2'!AL9</f>
        <v>0</v>
      </c>
      <c r="I29" s="688"/>
      <c r="J29" s="205"/>
    </row>
    <row r="30" spans="1:12" x14ac:dyDescent="0.25">
      <c r="A30" s="21">
        <f>A$12</f>
        <v>1675</v>
      </c>
      <c r="B30" s="149">
        <f t="shared" si="8"/>
        <v>2.0097442143727162E-2</v>
      </c>
      <c r="C30" s="20">
        <f t="shared" si="10"/>
        <v>8</v>
      </c>
      <c r="D30" s="249">
        <f>'Appendix J-2'!AM9</f>
        <v>0</v>
      </c>
      <c r="E30" s="23">
        <f t="shared" si="9"/>
        <v>0</v>
      </c>
      <c r="F30" s="249">
        <f>'Appendix J-2'!AO9</f>
        <v>0</v>
      </c>
      <c r="G30" s="25" t="e">
        <f t="shared" si="11"/>
        <v>#DIV/0!</v>
      </c>
      <c r="H30" s="248">
        <f>'Appendix J-2'!AQ9</f>
        <v>0</v>
      </c>
      <c r="I30" s="688"/>
      <c r="J30" s="205"/>
    </row>
    <row r="31" spans="1:12" x14ac:dyDescent="0.25">
      <c r="A31" s="21">
        <f>A$13</f>
        <v>1739</v>
      </c>
      <c r="B31" s="149">
        <f t="shared" si="8"/>
        <v>3.8208955223880597E-2</v>
      </c>
      <c r="C31" s="20">
        <f t="shared" si="10"/>
        <v>9</v>
      </c>
      <c r="D31" s="249">
        <f>'Appendix J-2'!AR9</f>
        <v>0</v>
      </c>
      <c r="E31" s="23">
        <f t="shared" si="9"/>
        <v>0</v>
      </c>
      <c r="F31" s="249">
        <f>'Appendix J-2'!AT9</f>
        <v>0</v>
      </c>
      <c r="G31" s="25" t="e">
        <f t="shared" si="11"/>
        <v>#DIV/0!</v>
      </c>
      <c r="H31" s="248">
        <f>'Appendix J-2'!AV9</f>
        <v>0</v>
      </c>
      <c r="I31" s="688"/>
      <c r="J31" s="205"/>
    </row>
    <row r="32" spans="1:12" x14ac:dyDescent="0.25">
      <c r="A32" s="21">
        <f>A$14</f>
        <v>1752</v>
      </c>
      <c r="B32" s="149">
        <f t="shared" si="8"/>
        <v>7.4755606670500289E-3</v>
      </c>
      <c r="C32" s="20">
        <f t="shared" si="10"/>
        <v>10</v>
      </c>
      <c r="D32" s="21">
        <f>ROUND(IF(TREND($D$23:$D$31,$A$23:$A$31,A32)&gt;0,TREND($D$23:$D$31,$A$23:$A$31,A32),0),0)</f>
        <v>0</v>
      </c>
      <c r="E32" s="22">
        <f>IF(TREND($E$23:$E$31,$A$23:$A$31,A32)&gt;0, TREND($E$23:$E$31,$A$23:$A$31,A32),0)</f>
        <v>0</v>
      </c>
      <c r="F32" s="21">
        <f>D32*E32</f>
        <v>0</v>
      </c>
      <c r="G32" s="24">
        <f>'DDS Rates for Amend'!G17</f>
        <v>5.05</v>
      </c>
      <c r="H32" s="33">
        <f>F32*G32</f>
        <v>0</v>
      </c>
      <c r="I32" s="688"/>
      <c r="J32" s="205"/>
    </row>
    <row r="33" spans="1:16" x14ac:dyDescent="0.25">
      <c r="A33" s="21">
        <f>A$15</f>
        <v>1822</v>
      </c>
      <c r="B33" s="149">
        <f t="shared" si="8"/>
        <v>3.9954337899543377E-2</v>
      </c>
      <c r="C33" s="20">
        <f t="shared" si="10"/>
        <v>11</v>
      </c>
      <c r="D33" s="21">
        <f>ROUND(AVERAGE($D$24:$D$26),0)</f>
        <v>4</v>
      </c>
      <c r="E33" s="22">
        <f>IF(TREND($E$23:$E$26,$C$23:$C$26,C33)&gt;0, TREND($E$23:$E$26,$C$23:$C$26,C33),0)</f>
        <v>3929.3991666666666</v>
      </c>
      <c r="F33" s="21">
        <f t="shared" ref="F33:F37" si="12">D33*E33</f>
        <v>15717.596666666666</v>
      </c>
      <c r="G33" s="24">
        <f>'DDS Rates for Amend'!G18</f>
        <v>5.1813000000000002</v>
      </c>
      <c r="H33" s="33">
        <f t="shared" ref="H33:H37" si="13">F33*G33</f>
        <v>81437.583609000008</v>
      </c>
      <c r="I33" s="688"/>
      <c r="J33" s="205"/>
    </row>
    <row r="34" spans="1:16" x14ac:dyDescent="0.25">
      <c r="A34" s="21">
        <f>A$16</f>
        <v>1872</v>
      </c>
      <c r="B34" s="149">
        <f t="shared" si="8"/>
        <v>2.7442371020856202E-2</v>
      </c>
      <c r="C34" s="20">
        <f t="shared" si="10"/>
        <v>12</v>
      </c>
      <c r="D34" s="21">
        <f t="shared" ref="D34:D37" si="14">ROUND(AVERAGE($D$24:$D$26),0)</f>
        <v>4</v>
      </c>
      <c r="E34" s="22">
        <f t="shared" ref="E34:E37" si="15">IF(TREND($E$23:$E$26,$C$23:$C$26,C34)&gt;0, TREND($E$23:$E$26,$C$23:$C$26,C34),0)</f>
        <v>4037.3816666666662</v>
      </c>
      <c r="F34" s="21">
        <f t="shared" si="12"/>
        <v>16149.526666666665</v>
      </c>
      <c r="G34" s="24">
        <f>'DDS Rates for Amend'!G19</f>
        <v>5.3160138000000003</v>
      </c>
      <c r="H34" s="33">
        <f t="shared" si="13"/>
        <v>85851.106623467989</v>
      </c>
      <c r="I34" s="688"/>
      <c r="J34" s="205"/>
    </row>
    <row r="35" spans="1:16" x14ac:dyDescent="0.25">
      <c r="A35" s="21">
        <f>A$17</f>
        <v>1902</v>
      </c>
      <c r="B35" s="149">
        <f t="shared" si="8"/>
        <v>1.6025641025641024E-2</v>
      </c>
      <c r="C35" s="20">
        <f t="shared" si="10"/>
        <v>13</v>
      </c>
      <c r="D35" s="21">
        <f t="shared" si="14"/>
        <v>4</v>
      </c>
      <c r="E35" s="22">
        <f t="shared" si="15"/>
        <v>4145.3641666666663</v>
      </c>
      <c r="F35" s="21">
        <f t="shared" si="12"/>
        <v>16581.456666666665</v>
      </c>
      <c r="G35" s="24">
        <f>'DDS Rates for Amend'!G20</f>
        <v>5.4542301588000006</v>
      </c>
      <c r="H35" s="33">
        <f t="shared" si="13"/>
        <v>90439.081028168657</v>
      </c>
      <c r="I35" s="688"/>
      <c r="J35" s="205"/>
    </row>
    <row r="36" spans="1:16" x14ac:dyDescent="0.25">
      <c r="A36" s="21">
        <f>A$18</f>
        <v>1932</v>
      </c>
      <c r="B36" s="149">
        <f t="shared" si="8"/>
        <v>1.5772870662460567E-2</v>
      </c>
      <c r="C36" s="20">
        <f t="shared" si="10"/>
        <v>14</v>
      </c>
      <c r="D36" s="21">
        <f t="shared" si="14"/>
        <v>4</v>
      </c>
      <c r="E36" s="22">
        <f t="shared" si="15"/>
        <v>4253.3466666666664</v>
      </c>
      <c r="F36" s="21">
        <f t="shared" si="12"/>
        <v>17013.386666666665</v>
      </c>
      <c r="G36" s="24">
        <f>'DDS Rates for Amend'!G21</f>
        <v>5.5960401429288007</v>
      </c>
      <c r="H36" s="33">
        <f t="shared" si="13"/>
        <v>95207.594753836282</v>
      </c>
      <c r="I36" s="688"/>
      <c r="J36" s="205"/>
    </row>
    <row r="37" spans="1:16" x14ac:dyDescent="0.25">
      <c r="A37" s="21">
        <f>A$19</f>
        <v>1962</v>
      </c>
      <c r="B37" s="149">
        <f t="shared" si="8"/>
        <v>1.5527950310559006E-2</v>
      </c>
      <c r="C37" s="20">
        <f t="shared" si="10"/>
        <v>15</v>
      </c>
      <c r="D37" s="21">
        <f t="shared" si="14"/>
        <v>4</v>
      </c>
      <c r="E37" s="22">
        <f t="shared" si="15"/>
        <v>4361.3291666666664</v>
      </c>
      <c r="F37" s="21">
        <f t="shared" si="12"/>
        <v>17445.316666666666</v>
      </c>
      <c r="G37" s="24">
        <f>'DDS Rates for Amend'!G22</f>
        <v>5.7415371866449494</v>
      </c>
      <c r="H37" s="33">
        <f t="shared" si="13"/>
        <v>100162.93437446357</v>
      </c>
      <c r="I37" s="689"/>
      <c r="J37" s="205"/>
      <c r="K37" s="285">
        <f>SUM(H23:H37)</f>
        <v>797669.73038893659</v>
      </c>
      <c r="L37" s="17">
        <f>IF(K37='Appendix J-2'!CD9,0,error)</f>
        <v>0</v>
      </c>
    </row>
    <row r="38" spans="1:16" x14ac:dyDescent="0.25">
      <c r="C38" s="19"/>
      <c r="D38" s="153"/>
      <c r="E38" s="213"/>
      <c r="F38" s="153"/>
      <c r="G38" s="214"/>
      <c r="H38" s="214"/>
      <c r="I38" s="307"/>
      <c r="J38" s="18"/>
    </row>
    <row r="39" spans="1:16" x14ac:dyDescent="0.25">
      <c r="A39" s="700" t="s">
        <v>193</v>
      </c>
      <c r="B39" s="701"/>
      <c r="C39" s="702"/>
      <c r="D39" s="222" t="str">
        <f>'Appendix J-2'!B10</f>
        <v>Visit</v>
      </c>
      <c r="E39" s="223" t="str">
        <f>'Appendix J-2'!C10</f>
        <v>15 minutes</v>
      </c>
      <c r="F39" s="690"/>
      <c r="G39" s="690"/>
      <c r="H39" s="690"/>
      <c r="I39" s="687" t="s">
        <v>1081</v>
      </c>
      <c r="J39" s="205"/>
    </row>
    <row r="40" spans="1:16" x14ac:dyDescent="0.25">
      <c r="A40" s="147" t="s">
        <v>26</v>
      </c>
      <c r="B40" s="147" t="s">
        <v>27</v>
      </c>
      <c r="C40" s="28" t="s">
        <v>166</v>
      </c>
      <c r="D40" s="91" t="s">
        <v>154</v>
      </c>
      <c r="E40" s="89" t="s">
        <v>155</v>
      </c>
      <c r="F40" s="34" t="s">
        <v>158</v>
      </c>
      <c r="G40" s="35" t="s">
        <v>156</v>
      </c>
      <c r="H40" s="51" t="s">
        <v>157</v>
      </c>
      <c r="I40" s="688"/>
      <c r="J40" s="205"/>
    </row>
    <row r="41" spans="1:16" ht="15" customHeight="1" x14ac:dyDescent="0.25">
      <c r="A41" s="21">
        <f>A$5</f>
        <v>1182</v>
      </c>
      <c r="B41" s="148"/>
      <c r="C41" s="32">
        <v>1</v>
      </c>
      <c r="D41" s="247">
        <f>'Appendix J-2'!D10</f>
        <v>309</v>
      </c>
      <c r="E41" s="22">
        <f t="shared" ref="E41:E49" si="16">IF(F41=0,0,F41/D41)</f>
        <v>85.750809061488667</v>
      </c>
      <c r="F41" s="247">
        <f>'Appendix J-2'!F10</f>
        <v>26497</v>
      </c>
      <c r="G41" s="24">
        <f>H41/F41</f>
        <v>16.192351964373326</v>
      </c>
      <c r="H41" s="250">
        <f>'Appendix J-2'!H10</f>
        <v>429048.75</v>
      </c>
      <c r="I41" s="688"/>
      <c r="J41" s="205"/>
    </row>
    <row r="42" spans="1:16" x14ac:dyDescent="0.25">
      <c r="A42" s="21">
        <f>A$6</f>
        <v>1288</v>
      </c>
      <c r="B42" s="149">
        <f>(A42-A41)/A41</f>
        <v>8.9678510998307953E-2</v>
      </c>
      <c r="C42" s="20">
        <v>2</v>
      </c>
      <c r="D42" s="247">
        <f>'Appendix J-2'!I10</f>
        <v>321</v>
      </c>
      <c r="E42" s="22">
        <f t="shared" si="16"/>
        <v>126.80685358255452</v>
      </c>
      <c r="F42" s="247">
        <f>'Appendix J-2'!K10</f>
        <v>40705</v>
      </c>
      <c r="G42" s="24">
        <f>H42/F42</f>
        <v>16.13997346763297</v>
      </c>
      <c r="H42" s="250">
        <f>'Appendix J-2'!M10</f>
        <v>656977.62</v>
      </c>
      <c r="I42" s="688"/>
      <c r="J42" s="205"/>
    </row>
    <row r="43" spans="1:16" x14ac:dyDescent="0.25">
      <c r="A43" s="21">
        <f>A$7</f>
        <v>1495</v>
      </c>
      <c r="B43" s="149">
        <f t="shared" ref="B43:B55" si="17">(A43-A42)/A42</f>
        <v>0.16071428571428573</v>
      </c>
      <c r="C43" s="20">
        <v>3</v>
      </c>
      <c r="D43" s="247">
        <f>'Appendix J-2'!N10</f>
        <v>407</v>
      </c>
      <c r="E43" s="22">
        <f t="shared" si="16"/>
        <v>132.47174447174447</v>
      </c>
      <c r="F43" s="247">
        <f>'Appendix J-2'!P10</f>
        <v>53916</v>
      </c>
      <c r="G43" s="24">
        <f>H43/F43</f>
        <v>16.203983047703836</v>
      </c>
      <c r="H43" s="250">
        <f>'Appendix J-2'!R10</f>
        <v>873653.95</v>
      </c>
      <c r="I43" s="688"/>
      <c r="J43" s="205"/>
    </row>
    <row r="44" spans="1:16" x14ac:dyDescent="0.25">
      <c r="A44" s="21">
        <f>A$8</f>
        <v>1484</v>
      </c>
      <c r="B44" s="149">
        <f t="shared" si="17"/>
        <v>-7.3578595317725752E-3</v>
      </c>
      <c r="C44" s="20">
        <f>C43+1</f>
        <v>4</v>
      </c>
      <c r="D44" s="247">
        <f>'Appendix J-2'!S10</f>
        <v>384</v>
      </c>
      <c r="E44" s="22">
        <f t="shared" si="16"/>
        <v>118.75</v>
      </c>
      <c r="F44" s="247">
        <f>'Appendix J-2'!U10</f>
        <v>45600</v>
      </c>
      <c r="G44" s="24">
        <f t="shared" ref="G44:G49" si="18">H44/F44</f>
        <v>16.194690131578948</v>
      </c>
      <c r="H44" s="250">
        <f>'Appendix J-2'!W10</f>
        <v>738477.87</v>
      </c>
      <c r="I44" s="688"/>
      <c r="J44" s="205"/>
    </row>
    <row r="45" spans="1:16" x14ac:dyDescent="0.25">
      <c r="A45" s="21">
        <f>A$9</f>
        <v>1528</v>
      </c>
      <c r="B45" s="149">
        <f t="shared" si="17"/>
        <v>2.9649595687331536E-2</v>
      </c>
      <c r="C45" s="20">
        <f t="shared" ref="C45:C55" si="19">C44+1</f>
        <v>5</v>
      </c>
      <c r="D45" s="247">
        <f>'Appendix J-2'!X10</f>
        <v>371</v>
      </c>
      <c r="E45" s="22">
        <f t="shared" si="16"/>
        <v>95.668463611859835</v>
      </c>
      <c r="F45" s="247">
        <f>'Appendix J-2'!Z10</f>
        <v>35493</v>
      </c>
      <c r="G45" s="24">
        <f t="shared" si="18"/>
        <v>16.134165891866001</v>
      </c>
      <c r="H45" s="250">
        <f>'Appendix J-2'!AB10</f>
        <v>572649.94999999995</v>
      </c>
      <c r="I45" s="688"/>
      <c r="J45" s="205"/>
    </row>
    <row r="46" spans="1:16" x14ac:dyDescent="0.25">
      <c r="A46" s="21">
        <f>A$10</f>
        <v>1592</v>
      </c>
      <c r="B46" s="149">
        <f t="shared" si="17"/>
        <v>4.1884816753926704E-2</v>
      </c>
      <c r="C46" s="20">
        <f t="shared" si="19"/>
        <v>6</v>
      </c>
      <c r="D46" s="249">
        <f>'Appendix J-2'!AC10</f>
        <v>549</v>
      </c>
      <c r="E46" s="22">
        <f t="shared" si="16"/>
        <v>74.539162112932601</v>
      </c>
      <c r="F46" s="249">
        <f>'Appendix J-2'!AE10</f>
        <v>40922</v>
      </c>
      <c r="G46" s="24">
        <f t="shared" si="18"/>
        <v>16.234238307023116</v>
      </c>
      <c r="H46" s="248">
        <f>'Appendix J-2'!AG10</f>
        <v>664337.5</v>
      </c>
      <c r="I46" s="688"/>
      <c r="J46" s="205"/>
    </row>
    <row r="47" spans="1:16" x14ac:dyDescent="0.25">
      <c r="A47" s="21">
        <f>A$11</f>
        <v>1642</v>
      </c>
      <c r="B47" s="149">
        <f t="shared" si="17"/>
        <v>3.1407035175879394E-2</v>
      </c>
      <c r="C47" s="20">
        <f t="shared" si="19"/>
        <v>7</v>
      </c>
      <c r="D47" s="249">
        <f>'Appendix J-2'!AH10</f>
        <v>367</v>
      </c>
      <c r="E47" s="22">
        <f t="shared" si="16"/>
        <v>79.155313351498634</v>
      </c>
      <c r="F47" s="249">
        <f>'Appendix J-2'!AJ10</f>
        <v>29050</v>
      </c>
      <c r="G47" s="24">
        <f t="shared" si="18"/>
        <v>16.2302495697074</v>
      </c>
      <c r="H47" s="248">
        <f>'Appendix J-2'!AL10</f>
        <v>471488.75</v>
      </c>
      <c r="I47" s="688"/>
      <c r="J47" s="205"/>
    </row>
    <row r="48" spans="1:16" x14ac:dyDescent="0.25">
      <c r="A48" s="21">
        <f>A$12</f>
        <v>1675</v>
      </c>
      <c r="B48" s="149">
        <f t="shared" si="17"/>
        <v>2.0097442143727162E-2</v>
      </c>
      <c r="C48" s="20">
        <f t="shared" si="19"/>
        <v>8</v>
      </c>
      <c r="D48" s="249">
        <f>'Appendix J-2'!AM10</f>
        <v>217</v>
      </c>
      <c r="E48" s="22">
        <f t="shared" si="16"/>
        <v>73.723502304147459</v>
      </c>
      <c r="F48" s="249">
        <f>'Appendix J-2'!AO10</f>
        <v>15998</v>
      </c>
      <c r="G48" s="24">
        <f t="shared" si="18"/>
        <v>16.252375296912113</v>
      </c>
      <c r="H48" s="248">
        <f>'Appendix J-2'!AQ10</f>
        <v>260005.5</v>
      </c>
      <c r="I48" s="688"/>
      <c r="J48" s="205"/>
      <c r="P48" s="31" t="s">
        <v>614</v>
      </c>
    </row>
    <row r="49" spans="1:17" x14ac:dyDescent="0.25">
      <c r="A49" s="21">
        <f>A$13</f>
        <v>1739</v>
      </c>
      <c r="B49" s="149">
        <f t="shared" si="17"/>
        <v>3.8208955223880597E-2</v>
      </c>
      <c r="C49" s="20">
        <f t="shared" si="19"/>
        <v>9</v>
      </c>
      <c r="D49" s="249">
        <f>'Appendix J-2'!AR10</f>
        <v>125</v>
      </c>
      <c r="E49" s="22">
        <f t="shared" si="16"/>
        <v>93.688000000000002</v>
      </c>
      <c r="F49" s="249">
        <f>'Appendix J-2'!AT10</f>
        <v>11711</v>
      </c>
      <c r="G49" s="24">
        <f t="shared" si="18"/>
        <v>20.878682435317224</v>
      </c>
      <c r="H49" s="248">
        <f>'Appendix J-2'!AV10</f>
        <v>244510.25</v>
      </c>
      <c r="I49" s="688"/>
      <c r="J49" s="205"/>
      <c r="N49" s="31" t="s">
        <v>612</v>
      </c>
      <c r="P49" s="31" t="s">
        <v>613</v>
      </c>
      <c r="Q49" s="31" t="s">
        <v>154</v>
      </c>
    </row>
    <row r="50" spans="1:17" x14ac:dyDescent="0.25">
      <c r="A50" s="21">
        <f>A$14</f>
        <v>1752</v>
      </c>
      <c r="B50" s="149">
        <f t="shared" si="17"/>
        <v>7.4755606670500289E-3</v>
      </c>
      <c r="C50" s="20">
        <f t="shared" si="19"/>
        <v>10</v>
      </c>
      <c r="D50" s="21">
        <f t="shared" ref="D50:D55" si="20">(ROUND((TREND($D$41:$D$49,$A$41:$A$49,A50)),0))-D68</f>
        <v>306</v>
      </c>
      <c r="E50" s="22">
        <f>IF(TREND($E$41:$E$49,$C$41:$C$49,C50)&lt;5840,TREND($E$41:$E$49,$C$41:$C$49,C50),5840)</f>
        <v>74.643900648852778</v>
      </c>
      <c r="F50" s="21">
        <f>D50*E50</f>
        <v>22841.033598548951</v>
      </c>
      <c r="G50" s="24">
        <f>'DDS Rates for Amend'!H17</f>
        <v>25.26</v>
      </c>
      <c r="H50" s="145">
        <f>F50*G50</f>
        <v>576964.50869934657</v>
      </c>
      <c r="I50" s="688"/>
      <c r="J50" s="205"/>
      <c r="N50" s="31" t="s">
        <v>510</v>
      </c>
      <c r="O50" s="31">
        <f>ROUND(D50*0.1,0)</f>
        <v>31</v>
      </c>
    </row>
    <row r="51" spans="1:17" x14ac:dyDescent="0.25">
      <c r="A51" s="21">
        <f>A$15</f>
        <v>1822</v>
      </c>
      <c r="B51" s="149">
        <f t="shared" si="17"/>
        <v>3.9954337899543377E-2</v>
      </c>
      <c r="C51" s="20">
        <f t="shared" si="19"/>
        <v>11</v>
      </c>
      <c r="D51" s="21">
        <f t="shared" si="20"/>
        <v>291</v>
      </c>
      <c r="E51" s="22">
        <f t="shared" ref="E51:E55" si="21">IF(TREND($E$41:$E$49,$C$41:$C$49,C51)&lt;5840,TREND($E$41:$E$49,$C$41:$C$49,C51),5840)</f>
        <v>70.004817478707196</v>
      </c>
      <c r="F51" s="21">
        <f t="shared" ref="F51:F55" si="22">D51*E51</f>
        <v>20371.401886303793</v>
      </c>
      <c r="G51" s="24">
        <f>'DDS Rates for Amend'!H18</f>
        <v>25.91676</v>
      </c>
      <c r="H51" s="33">
        <f t="shared" ref="H51:H55" si="23">F51*G51</f>
        <v>527960.73355088267</v>
      </c>
      <c r="I51" s="688"/>
      <c r="J51" s="205"/>
      <c r="N51" s="31" t="s">
        <v>511</v>
      </c>
      <c r="O51" s="407">
        <f t="shared" ref="O51:O55" si="24">ROUND(D51*0.1,0)</f>
        <v>29</v>
      </c>
      <c r="P51" s="411">
        <f>D69/D51</f>
        <v>2.0618556701030927E-2</v>
      </c>
      <c r="Q51" s="31">
        <f>D51*P51</f>
        <v>6</v>
      </c>
    </row>
    <row r="52" spans="1:17" x14ac:dyDescent="0.25">
      <c r="A52" s="21">
        <f>A$16</f>
        <v>1872</v>
      </c>
      <c r="B52" s="149">
        <f t="shared" si="17"/>
        <v>2.7442371020856202E-2</v>
      </c>
      <c r="C52" s="20">
        <f t="shared" si="19"/>
        <v>12</v>
      </c>
      <c r="D52" s="21">
        <f t="shared" si="20"/>
        <v>278</v>
      </c>
      <c r="E52" s="22">
        <f t="shared" si="21"/>
        <v>65.365734308561628</v>
      </c>
      <c r="F52" s="21">
        <f t="shared" si="22"/>
        <v>18171.674137780134</v>
      </c>
      <c r="G52" s="24">
        <f>'DDS Rates for Amend'!H19</f>
        <v>26.590595759999999</v>
      </c>
      <c r="H52" s="33">
        <f t="shared" si="23"/>
        <v>483195.64128015807</v>
      </c>
      <c r="I52" s="688"/>
      <c r="J52" s="205"/>
      <c r="N52" s="407" t="s">
        <v>512</v>
      </c>
      <c r="O52" s="407">
        <f t="shared" si="24"/>
        <v>28</v>
      </c>
      <c r="P52" s="411">
        <f t="shared" ref="P52:P55" si="25">D70/D52</f>
        <v>4.3165467625899283E-2</v>
      </c>
      <c r="Q52" s="407">
        <f t="shared" ref="Q52:Q55" si="26">D52*P52</f>
        <v>12</v>
      </c>
    </row>
    <row r="53" spans="1:17" x14ac:dyDescent="0.25">
      <c r="A53" s="21">
        <f>A$17</f>
        <v>1902</v>
      </c>
      <c r="B53" s="149">
        <f t="shared" si="17"/>
        <v>1.6025641025641024E-2</v>
      </c>
      <c r="C53" s="20">
        <f t="shared" si="19"/>
        <v>13</v>
      </c>
      <c r="D53" s="21">
        <f t="shared" si="20"/>
        <v>259</v>
      </c>
      <c r="E53" s="22">
        <f t="shared" si="21"/>
        <v>60.726651138416038</v>
      </c>
      <c r="F53" s="21">
        <f t="shared" si="22"/>
        <v>15728.202644849755</v>
      </c>
      <c r="G53" s="24">
        <f>'DDS Rates for Amend'!H20</f>
        <v>27.281951249759999</v>
      </c>
      <c r="H53" s="33">
        <f t="shared" si="23"/>
        <v>429096.05780313729</v>
      </c>
      <c r="I53" s="688"/>
      <c r="J53" s="205"/>
      <c r="N53" s="407" t="s">
        <v>513</v>
      </c>
      <c r="O53" s="407">
        <f t="shared" si="24"/>
        <v>26</v>
      </c>
      <c r="P53" s="411">
        <f t="shared" si="25"/>
        <v>0.10424710424710425</v>
      </c>
      <c r="Q53" s="407">
        <f t="shared" si="26"/>
        <v>27</v>
      </c>
    </row>
    <row r="54" spans="1:17" x14ac:dyDescent="0.25">
      <c r="A54" s="21">
        <f>A$18</f>
        <v>1932</v>
      </c>
      <c r="B54" s="149">
        <f t="shared" si="17"/>
        <v>1.5772870662460567E-2</v>
      </c>
      <c r="C54" s="20">
        <f t="shared" si="19"/>
        <v>14</v>
      </c>
      <c r="D54" s="21">
        <f t="shared" si="20"/>
        <v>254</v>
      </c>
      <c r="E54" s="22">
        <f t="shared" si="21"/>
        <v>56.087567968270463</v>
      </c>
      <c r="F54" s="21">
        <f t="shared" si="22"/>
        <v>14246.242263940698</v>
      </c>
      <c r="G54" s="24">
        <f>'DDS Rates for Amend'!H21</f>
        <v>27.99128198225376</v>
      </c>
      <c r="H54" s="33">
        <f t="shared" si="23"/>
        <v>398770.58439746528</v>
      </c>
      <c r="I54" s="688"/>
      <c r="J54" s="205"/>
      <c r="N54" s="407" t="s">
        <v>514</v>
      </c>
      <c r="O54" s="407">
        <f t="shared" si="24"/>
        <v>25</v>
      </c>
      <c r="P54" s="411">
        <f t="shared" si="25"/>
        <v>0.1062992125984252</v>
      </c>
      <c r="Q54" s="407">
        <f t="shared" si="26"/>
        <v>27</v>
      </c>
    </row>
    <row r="55" spans="1:17" x14ac:dyDescent="0.25">
      <c r="A55" s="21">
        <f>A$19</f>
        <v>1962</v>
      </c>
      <c r="B55" s="149">
        <f t="shared" si="17"/>
        <v>1.5527950310559006E-2</v>
      </c>
      <c r="C55" s="20">
        <f t="shared" si="19"/>
        <v>15</v>
      </c>
      <c r="D55" s="21">
        <f t="shared" si="20"/>
        <v>250</v>
      </c>
      <c r="E55" s="22">
        <f t="shared" si="21"/>
        <v>51.448484798124881</v>
      </c>
      <c r="F55" s="21">
        <f t="shared" si="22"/>
        <v>12862.121199531221</v>
      </c>
      <c r="G55" s="24">
        <f>'DDS Rates for Amend'!H22</f>
        <v>28.719055313792357</v>
      </c>
      <c r="H55" s="33">
        <f t="shared" si="23"/>
        <v>369387.97018203844</v>
      </c>
      <c r="I55" s="689"/>
      <c r="J55" s="205"/>
      <c r="K55" s="285">
        <f>SUM(H41:H55)</f>
        <v>7696525.6359130284</v>
      </c>
      <c r="L55" s="17">
        <f>IF(K55='Appendix J-2'!CD10,0,error)</f>
        <v>0</v>
      </c>
      <c r="N55" s="407" t="s">
        <v>515</v>
      </c>
      <c r="O55" s="407">
        <f t="shared" si="24"/>
        <v>25</v>
      </c>
      <c r="P55" s="411">
        <f t="shared" si="25"/>
        <v>0.108</v>
      </c>
      <c r="Q55" s="407">
        <f t="shared" si="26"/>
        <v>27</v>
      </c>
    </row>
    <row r="56" spans="1:17" x14ac:dyDescent="0.25">
      <c r="C56" s="19"/>
      <c r="D56" s="153"/>
      <c r="E56" s="213"/>
      <c r="F56" s="153"/>
      <c r="G56" s="214"/>
      <c r="H56" s="214"/>
      <c r="I56" s="307"/>
      <c r="J56" s="18"/>
    </row>
    <row r="57" spans="1:17" x14ac:dyDescent="0.25">
      <c r="A57" s="700" t="s">
        <v>269</v>
      </c>
      <c r="B57" s="701"/>
      <c r="C57" s="702"/>
      <c r="D57" s="222" t="str">
        <f>'Appendix J-2'!B11</f>
        <v>Visit</v>
      </c>
      <c r="E57" s="223" t="str">
        <f>'Appendix J-2'!C11</f>
        <v>15 minutes</v>
      </c>
      <c r="F57" s="690"/>
      <c r="G57" s="690"/>
      <c r="H57" s="690"/>
      <c r="I57" s="687" t="s">
        <v>1147</v>
      </c>
      <c r="J57" s="205"/>
    </row>
    <row r="58" spans="1:17" x14ac:dyDescent="0.25">
      <c r="A58" s="147" t="s">
        <v>26</v>
      </c>
      <c r="B58" s="147" t="s">
        <v>27</v>
      </c>
      <c r="C58" s="51" t="s">
        <v>166</v>
      </c>
      <c r="D58" s="91" t="s">
        <v>154</v>
      </c>
      <c r="E58" s="89" t="s">
        <v>155</v>
      </c>
      <c r="F58" s="34" t="s">
        <v>158</v>
      </c>
      <c r="G58" s="35" t="s">
        <v>156</v>
      </c>
      <c r="H58" s="51" t="s">
        <v>157</v>
      </c>
      <c r="I58" s="688"/>
      <c r="J58" s="205"/>
    </row>
    <row r="59" spans="1:17" ht="15" customHeight="1" x14ac:dyDescent="0.25">
      <c r="A59" s="21">
        <f>A$5</f>
        <v>1182</v>
      </c>
      <c r="B59" s="148"/>
      <c r="C59" s="32">
        <v>1</v>
      </c>
      <c r="D59" s="210"/>
      <c r="E59" s="22"/>
      <c r="F59" s="210"/>
      <c r="G59" s="24"/>
      <c r="H59" s="211"/>
      <c r="I59" s="688"/>
      <c r="J59" s="205"/>
    </row>
    <row r="60" spans="1:17" x14ac:dyDescent="0.25">
      <c r="A60" s="21">
        <f>A$6</f>
        <v>1288</v>
      </c>
      <c r="B60" s="149">
        <f>(A60-A59)/A59</f>
        <v>8.9678510998307953E-2</v>
      </c>
      <c r="C60" s="20">
        <v>2</v>
      </c>
      <c r="D60" s="210"/>
      <c r="E60" s="22"/>
      <c r="F60" s="210"/>
      <c r="G60" s="24"/>
      <c r="H60" s="211"/>
      <c r="I60" s="688"/>
      <c r="J60" s="205"/>
    </row>
    <row r="61" spans="1:17" x14ac:dyDescent="0.25">
      <c r="A61" s="21">
        <f>A$7</f>
        <v>1495</v>
      </c>
      <c r="B61" s="149">
        <f t="shared" ref="B61:B73" si="27">(A61-A60)/A60</f>
        <v>0.16071428571428573</v>
      </c>
      <c r="C61" s="20">
        <v>3</v>
      </c>
      <c r="D61" s="210"/>
      <c r="E61" s="22"/>
      <c r="F61" s="210"/>
      <c r="G61" s="24"/>
      <c r="H61" s="211"/>
      <c r="I61" s="688"/>
      <c r="J61" s="205"/>
    </row>
    <row r="62" spans="1:17" x14ac:dyDescent="0.25">
      <c r="A62" s="21">
        <f>A$8</f>
        <v>1484</v>
      </c>
      <c r="B62" s="149">
        <f t="shared" si="27"/>
        <v>-7.3578595317725752E-3</v>
      </c>
      <c r="C62" s="20">
        <f>C61+1</f>
        <v>4</v>
      </c>
      <c r="D62" s="210"/>
      <c r="E62" s="22"/>
      <c r="F62" s="210"/>
      <c r="G62" s="24"/>
      <c r="H62" s="211"/>
      <c r="I62" s="688"/>
      <c r="J62" s="205"/>
    </row>
    <row r="63" spans="1:17" x14ac:dyDescent="0.25">
      <c r="A63" s="21">
        <f>A$9</f>
        <v>1528</v>
      </c>
      <c r="B63" s="149">
        <f t="shared" si="27"/>
        <v>2.9649595687331536E-2</v>
      </c>
      <c r="C63" s="20">
        <f t="shared" ref="C63:C73" si="28">C62+1</f>
        <v>5</v>
      </c>
      <c r="D63" s="210"/>
      <c r="E63" s="22"/>
      <c r="F63" s="210"/>
      <c r="G63" s="24"/>
      <c r="H63" s="211"/>
      <c r="I63" s="688"/>
      <c r="J63" s="205"/>
    </row>
    <row r="64" spans="1:17" x14ac:dyDescent="0.25">
      <c r="A64" s="21">
        <f>A$10</f>
        <v>1592</v>
      </c>
      <c r="B64" s="149">
        <f t="shared" si="27"/>
        <v>4.1884816753926704E-2</v>
      </c>
      <c r="C64" s="20">
        <f t="shared" si="28"/>
        <v>6</v>
      </c>
      <c r="D64" s="21"/>
      <c r="E64" s="22"/>
      <c r="F64" s="21"/>
      <c r="G64" s="24"/>
      <c r="H64" s="33"/>
      <c r="I64" s="688"/>
      <c r="J64" s="205"/>
    </row>
    <row r="65" spans="1:12" x14ac:dyDescent="0.25">
      <c r="A65" s="21">
        <f>A$11</f>
        <v>1642</v>
      </c>
      <c r="B65" s="149">
        <f t="shared" si="27"/>
        <v>3.1407035175879394E-2</v>
      </c>
      <c r="C65" s="20">
        <f t="shared" si="28"/>
        <v>7</v>
      </c>
      <c r="D65" s="21"/>
      <c r="E65" s="22"/>
      <c r="F65" s="21"/>
      <c r="G65" s="24"/>
      <c r="H65" s="33"/>
      <c r="I65" s="688"/>
      <c r="J65" s="205"/>
    </row>
    <row r="66" spans="1:12" x14ac:dyDescent="0.25">
      <c r="A66" s="21">
        <f>A$12</f>
        <v>1675</v>
      </c>
      <c r="B66" s="149">
        <f t="shared" si="27"/>
        <v>2.0097442143727162E-2</v>
      </c>
      <c r="C66" s="20">
        <f t="shared" si="28"/>
        <v>8</v>
      </c>
      <c r="D66" s="21"/>
      <c r="E66" s="22"/>
      <c r="F66" s="21"/>
      <c r="G66" s="24"/>
      <c r="H66" s="33"/>
      <c r="I66" s="688"/>
      <c r="J66" s="205"/>
    </row>
    <row r="67" spans="1:12" x14ac:dyDescent="0.25">
      <c r="A67" s="21">
        <f>A$13</f>
        <v>1739</v>
      </c>
      <c r="B67" s="149">
        <f t="shared" si="27"/>
        <v>3.8208955223880597E-2</v>
      </c>
      <c r="C67" s="20">
        <f t="shared" si="28"/>
        <v>9</v>
      </c>
      <c r="D67" s="21"/>
      <c r="E67" s="22"/>
      <c r="F67" s="21"/>
      <c r="G67" s="24"/>
      <c r="H67" s="33"/>
      <c r="I67" s="688"/>
      <c r="J67" s="205"/>
    </row>
    <row r="68" spans="1:12" x14ac:dyDescent="0.25">
      <c r="A68" s="21">
        <f>A$14</f>
        <v>1752</v>
      </c>
      <c r="B68" s="149">
        <f t="shared" si="27"/>
        <v>7.4755606670500289E-3</v>
      </c>
      <c r="C68" s="20">
        <f t="shared" si="28"/>
        <v>10</v>
      </c>
      <c r="D68" s="21"/>
      <c r="E68" s="22"/>
      <c r="F68" s="26"/>
      <c r="G68" s="25"/>
      <c r="H68" s="145"/>
      <c r="I68" s="688"/>
      <c r="J68" s="205"/>
    </row>
    <row r="69" spans="1:12" x14ac:dyDescent="0.25">
      <c r="A69" s="21">
        <f>A$15</f>
        <v>1822</v>
      </c>
      <c r="B69" s="149">
        <f t="shared" si="27"/>
        <v>3.9954337899543377E-2</v>
      </c>
      <c r="C69" s="20">
        <f t="shared" si="28"/>
        <v>11</v>
      </c>
      <c r="D69" s="21">
        <v>6</v>
      </c>
      <c r="E69" s="22">
        <f>IF(TREND($E$41:$E$49,$C$59:$C$67,C69)&lt;400,TREND($E$41:$E$49,$C$59:$C$67,C69),400)</f>
        <v>70.004817478707196</v>
      </c>
      <c r="F69" s="21">
        <f t="shared" ref="F69:F73" si="29">D69*E69</f>
        <v>420.02890487224317</v>
      </c>
      <c r="G69" s="25">
        <f>'DDS Rates for Amend'!DF18</f>
        <v>12.53</v>
      </c>
      <c r="H69" s="33">
        <f t="shared" ref="H69:H73" si="30">F69*G69</f>
        <v>5262.9621780492071</v>
      </c>
      <c r="I69" s="688"/>
      <c r="J69" s="205"/>
    </row>
    <row r="70" spans="1:12" x14ac:dyDescent="0.25">
      <c r="A70" s="21">
        <f>A$16</f>
        <v>1872</v>
      </c>
      <c r="B70" s="149">
        <f t="shared" si="27"/>
        <v>2.7442371020856202E-2</v>
      </c>
      <c r="C70" s="20">
        <f t="shared" si="28"/>
        <v>12</v>
      </c>
      <c r="D70" s="21">
        <v>12</v>
      </c>
      <c r="E70" s="22">
        <f t="shared" ref="E70:E73" si="31">IF(TREND($E$41:$E$49,$C$59:$C$67,C70)&lt;400,TREND($E$41:$E$49,$C$59:$C$67,C70),400)</f>
        <v>65.365734308561628</v>
      </c>
      <c r="F70" s="21">
        <f t="shared" si="29"/>
        <v>784.38881170273953</v>
      </c>
      <c r="G70" s="25">
        <f>'DDS Rates for Amend'!DF19</f>
        <v>12.855779999999999</v>
      </c>
      <c r="H70" s="33">
        <f t="shared" si="30"/>
        <v>10083.929997711844</v>
      </c>
      <c r="I70" s="688"/>
      <c r="J70" s="205"/>
    </row>
    <row r="71" spans="1:12" x14ac:dyDescent="0.25">
      <c r="A71" s="21">
        <f>A$17</f>
        <v>1902</v>
      </c>
      <c r="B71" s="149">
        <f t="shared" si="27"/>
        <v>1.6025641025641024E-2</v>
      </c>
      <c r="C71" s="20">
        <f t="shared" si="28"/>
        <v>13</v>
      </c>
      <c r="D71" s="21">
        <v>27</v>
      </c>
      <c r="E71" s="22">
        <f t="shared" si="31"/>
        <v>60.726651138416038</v>
      </c>
      <c r="F71" s="21">
        <f t="shared" si="29"/>
        <v>1639.619580737233</v>
      </c>
      <c r="G71" s="25">
        <f>'DDS Rates for Amend'!DF20</f>
        <v>13.190030279999998</v>
      </c>
      <c r="H71" s="33">
        <f t="shared" si="30"/>
        <v>21626.631917605006</v>
      </c>
      <c r="I71" s="688"/>
      <c r="J71" s="205"/>
    </row>
    <row r="72" spans="1:12" x14ac:dyDescent="0.25">
      <c r="A72" s="21">
        <f>A$18</f>
        <v>1932</v>
      </c>
      <c r="B72" s="149">
        <f t="shared" si="27"/>
        <v>1.5772870662460567E-2</v>
      </c>
      <c r="C72" s="20">
        <f t="shared" si="28"/>
        <v>14</v>
      </c>
      <c r="D72" s="21">
        <v>27</v>
      </c>
      <c r="E72" s="22">
        <f t="shared" si="31"/>
        <v>56.087567968270463</v>
      </c>
      <c r="F72" s="21">
        <f t="shared" si="29"/>
        <v>1514.3643351433025</v>
      </c>
      <c r="G72" s="25">
        <f>'DDS Rates for Amend'!DF21</f>
        <v>13.532971067279998</v>
      </c>
      <c r="H72" s="33">
        <f t="shared" si="30"/>
        <v>20493.848732815022</v>
      </c>
      <c r="I72" s="688"/>
      <c r="J72" s="205"/>
    </row>
    <row r="73" spans="1:12" x14ac:dyDescent="0.25">
      <c r="A73" s="21">
        <f>A$19</f>
        <v>1962</v>
      </c>
      <c r="B73" s="149">
        <f t="shared" si="27"/>
        <v>1.5527950310559006E-2</v>
      </c>
      <c r="C73" s="20">
        <f t="shared" si="28"/>
        <v>15</v>
      </c>
      <c r="D73" s="21">
        <v>27</v>
      </c>
      <c r="E73" s="22">
        <f t="shared" si="31"/>
        <v>51.448484798124881</v>
      </c>
      <c r="F73" s="21">
        <f t="shared" si="29"/>
        <v>1389.1090895493717</v>
      </c>
      <c r="G73" s="25">
        <f>'DDS Rates for Amend'!DF22</f>
        <v>13.884828315029278</v>
      </c>
      <c r="H73" s="33">
        <f t="shared" si="30"/>
        <v>19287.541219239658</v>
      </c>
      <c r="I73" s="689"/>
      <c r="J73" s="205"/>
      <c r="K73" s="285">
        <f>SUM(H59:H73)</f>
        <v>76754.914045420737</v>
      </c>
      <c r="L73" s="17">
        <f>IF(K73='Appendix J-2'!CD11,0,error)</f>
        <v>0</v>
      </c>
    </row>
    <row r="74" spans="1:12" x14ac:dyDescent="0.25">
      <c r="C74" s="19"/>
      <c r="D74" s="153"/>
      <c r="E74" s="213"/>
      <c r="F74" s="153"/>
      <c r="G74" s="214"/>
      <c r="H74" s="214"/>
      <c r="I74" s="307"/>
      <c r="J74" s="18"/>
    </row>
    <row r="75" spans="1:12" x14ac:dyDescent="0.25">
      <c r="A75" s="701" t="s">
        <v>194</v>
      </c>
      <c r="B75" s="701"/>
      <c r="C75" s="702"/>
      <c r="D75" s="222" t="str">
        <f>'Appendix J-2'!B12</f>
        <v>Visit</v>
      </c>
      <c r="E75" s="223" t="str">
        <f>'Appendix J-2'!C12</f>
        <v>15 minutes</v>
      </c>
      <c r="F75" s="690"/>
      <c r="G75" s="690"/>
      <c r="H75" s="690"/>
      <c r="I75" s="687" t="s">
        <v>1080</v>
      </c>
      <c r="J75" s="205"/>
    </row>
    <row r="76" spans="1:12" x14ac:dyDescent="0.25">
      <c r="A76" s="147" t="s">
        <v>26</v>
      </c>
      <c r="B76" s="147" t="s">
        <v>27</v>
      </c>
      <c r="C76" s="28" t="s">
        <v>166</v>
      </c>
      <c r="D76" s="91" t="s">
        <v>154</v>
      </c>
      <c r="E76" s="89" t="s">
        <v>155</v>
      </c>
      <c r="F76" s="34" t="s">
        <v>158</v>
      </c>
      <c r="G76" s="35" t="s">
        <v>156</v>
      </c>
      <c r="H76" s="51" t="s">
        <v>157</v>
      </c>
      <c r="I76" s="688"/>
      <c r="J76" s="205"/>
    </row>
    <row r="77" spans="1:12" ht="15" customHeight="1" x14ac:dyDescent="0.25">
      <c r="A77" s="21">
        <f>A$5</f>
        <v>1182</v>
      </c>
      <c r="B77" s="148"/>
      <c r="C77" s="32">
        <v>1</v>
      </c>
      <c r="D77" s="247">
        <f>'Appendix J-2'!D12</f>
        <v>53</v>
      </c>
      <c r="E77" s="22">
        <f t="shared" ref="E77:E85" si="32">IF(F77=0,0,F77/D77)</f>
        <v>21.018867924528301</v>
      </c>
      <c r="F77" s="247">
        <f>'Appendix J-2'!F12</f>
        <v>1114</v>
      </c>
      <c r="G77" s="24">
        <f>H77/F77</f>
        <v>15.230026929982047</v>
      </c>
      <c r="H77" s="250">
        <f>'Appendix J-2'!H12</f>
        <v>16966.25</v>
      </c>
      <c r="I77" s="688"/>
      <c r="J77" s="205"/>
    </row>
    <row r="78" spans="1:12" x14ac:dyDescent="0.25">
      <c r="A78" s="21">
        <f>A$6</f>
        <v>1288</v>
      </c>
      <c r="B78" s="149">
        <f>(A78-A77)/A77</f>
        <v>8.9678510998307953E-2</v>
      </c>
      <c r="C78" s="20">
        <v>2</v>
      </c>
      <c r="D78" s="247">
        <f>'Appendix J-2'!I12</f>
        <v>75</v>
      </c>
      <c r="E78" s="22">
        <f t="shared" si="32"/>
        <v>27.533333333333335</v>
      </c>
      <c r="F78" s="247">
        <f>'Appendix J-2'!K12</f>
        <v>2065</v>
      </c>
      <c r="G78" s="24">
        <f t="shared" ref="G78:G85" si="33">H78/F78</f>
        <v>14.217917675544793</v>
      </c>
      <c r="H78" s="250">
        <f>'Appendix J-2'!M12</f>
        <v>29360</v>
      </c>
      <c r="I78" s="688"/>
      <c r="J78" s="205"/>
    </row>
    <row r="79" spans="1:12" x14ac:dyDescent="0.25">
      <c r="A79" s="21">
        <f>A$7</f>
        <v>1495</v>
      </c>
      <c r="B79" s="149">
        <f t="shared" ref="B79:B91" si="34">(A79-A78)/A78</f>
        <v>0.16071428571428573</v>
      </c>
      <c r="C79" s="20">
        <v>3</v>
      </c>
      <c r="D79" s="247">
        <f>'Appendix J-2'!N12</f>
        <v>93</v>
      </c>
      <c r="E79" s="22">
        <f t="shared" si="32"/>
        <v>29.634408602150536</v>
      </c>
      <c r="F79" s="247">
        <f>'Appendix J-2'!P12</f>
        <v>2756</v>
      </c>
      <c r="G79" s="24">
        <f t="shared" si="33"/>
        <v>15.212264150943396</v>
      </c>
      <c r="H79" s="250">
        <f>'Appendix J-2'!R12</f>
        <v>41925</v>
      </c>
      <c r="I79" s="688"/>
      <c r="J79" s="205"/>
    </row>
    <row r="80" spans="1:12" x14ac:dyDescent="0.25">
      <c r="A80" s="21">
        <f>A$8</f>
        <v>1484</v>
      </c>
      <c r="B80" s="149">
        <f t="shared" si="34"/>
        <v>-7.3578595317725752E-3</v>
      </c>
      <c r="C80" s="20">
        <f>C79+1</f>
        <v>4</v>
      </c>
      <c r="D80" s="247">
        <f>'Appendix J-2'!S12</f>
        <v>55</v>
      </c>
      <c r="E80" s="22">
        <f t="shared" si="32"/>
        <v>17.472727272727273</v>
      </c>
      <c r="F80" s="247">
        <f>'Appendix J-2'!U12</f>
        <v>961</v>
      </c>
      <c r="G80" s="24">
        <f t="shared" si="33"/>
        <v>16.25</v>
      </c>
      <c r="H80" s="250">
        <f>'Appendix J-2'!W12</f>
        <v>15616.25</v>
      </c>
      <c r="I80" s="688"/>
      <c r="J80" s="205"/>
    </row>
    <row r="81" spans="1:12" x14ac:dyDescent="0.25">
      <c r="A81" s="21">
        <f>A$9</f>
        <v>1528</v>
      </c>
      <c r="B81" s="149">
        <f t="shared" si="34"/>
        <v>2.9649595687331536E-2</v>
      </c>
      <c r="C81" s="20">
        <f t="shared" ref="C81:C91" si="35">C80+1</f>
        <v>5</v>
      </c>
      <c r="D81" s="247">
        <f>'Appendix J-2'!X12</f>
        <v>50</v>
      </c>
      <c r="E81" s="22">
        <f t="shared" si="32"/>
        <v>16.739999999999998</v>
      </c>
      <c r="F81" s="247">
        <f>'Appendix J-2'!Z12</f>
        <v>837</v>
      </c>
      <c r="G81" s="24">
        <f t="shared" si="33"/>
        <v>16.248805256869773</v>
      </c>
      <c r="H81" s="250">
        <f>'Appendix J-2'!AB12</f>
        <v>13600.25</v>
      </c>
      <c r="I81" s="688"/>
      <c r="J81" s="205"/>
    </row>
    <row r="82" spans="1:12" x14ac:dyDescent="0.25">
      <c r="A82" s="21">
        <f>A$10</f>
        <v>1592</v>
      </c>
      <c r="B82" s="149">
        <f t="shared" si="34"/>
        <v>4.1884816753926704E-2</v>
      </c>
      <c r="C82" s="20">
        <f t="shared" si="35"/>
        <v>6</v>
      </c>
      <c r="D82" s="249">
        <f>'Appendix J-2'!AC12</f>
        <v>54</v>
      </c>
      <c r="E82" s="22">
        <f t="shared" si="32"/>
        <v>15.25925925925926</v>
      </c>
      <c r="F82" s="249">
        <f>'Appendix J-2'!AE12</f>
        <v>824</v>
      </c>
      <c r="G82" s="24">
        <f t="shared" si="33"/>
        <v>16.25</v>
      </c>
      <c r="H82" s="248">
        <f>'Appendix J-2'!AG12</f>
        <v>13390</v>
      </c>
      <c r="I82" s="688"/>
      <c r="J82" s="205"/>
    </row>
    <row r="83" spans="1:12" x14ac:dyDescent="0.25">
      <c r="A83" s="21">
        <f>A$11</f>
        <v>1642</v>
      </c>
      <c r="B83" s="149">
        <f t="shared" si="34"/>
        <v>3.1407035175879394E-2</v>
      </c>
      <c r="C83" s="20">
        <f t="shared" si="35"/>
        <v>7</v>
      </c>
      <c r="D83" s="249">
        <f>'Appendix J-2'!AH12</f>
        <v>51</v>
      </c>
      <c r="E83" s="22">
        <f t="shared" si="32"/>
        <v>13.372549019607844</v>
      </c>
      <c r="F83" s="249">
        <f>'Appendix J-2'!AJ12</f>
        <v>682</v>
      </c>
      <c r="G83" s="24">
        <f t="shared" si="33"/>
        <v>16.25</v>
      </c>
      <c r="H83" s="248">
        <f>'Appendix J-2'!AL12</f>
        <v>11082.5</v>
      </c>
      <c r="I83" s="688"/>
      <c r="J83" s="205"/>
    </row>
    <row r="84" spans="1:12" x14ac:dyDescent="0.25">
      <c r="A84" s="21">
        <f>A$12</f>
        <v>1675</v>
      </c>
      <c r="B84" s="149">
        <f t="shared" si="34"/>
        <v>2.0097442143727162E-2</v>
      </c>
      <c r="C84" s="20">
        <f t="shared" si="35"/>
        <v>8</v>
      </c>
      <c r="D84" s="249">
        <f>'Appendix J-2'!AM12</f>
        <v>46</v>
      </c>
      <c r="E84" s="22">
        <f t="shared" si="32"/>
        <v>18.434782608695652</v>
      </c>
      <c r="F84" s="249">
        <f>'Appendix J-2'!AO12</f>
        <v>848</v>
      </c>
      <c r="G84" s="24">
        <f t="shared" si="33"/>
        <v>16.244103773584907</v>
      </c>
      <c r="H84" s="248">
        <f>'Appendix J-2'!AQ12</f>
        <v>13775</v>
      </c>
      <c r="I84" s="688"/>
      <c r="J84" s="205"/>
    </row>
    <row r="85" spans="1:12" x14ac:dyDescent="0.25">
      <c r="A85" s="21">
        <f>A$13</f>
        <v>1739</v>
      </c>
      <c r="B85" s="149">
        <f t="shared" si="34"/>
        <v>3.8208955223880597E-2</v>
      </c>
      <c r="C85" s="20">
        <f t="shared" si="35"/>
        <v>9</v>
      </c>
      <c r="D85" s="249">
        <f>'Appendix J-2'!AR12</f>
        <v>17</v>
      </c>
      <c r="E85" s="22">
        <f t="shared" si="32"/>
        <v>19.294117647058822</v>
      </c>
      <c r="F85" s="249">
        <f>'Appendix J-2'!AT12</f>
        <v>328</v>
      </c>
      <c r="G85" s="24">
        <f t="shared" si="33"/>
        <v>22.332317073170731</v>
      </c>
      <c r="H85" s="248">
        <f>'Appendix J-2'!AV12</f>
        <v>7325</v>
      </c>
      <c r="I85" s="688"/>
      <c r="J85" s="205"/>
    </row>
    <row r="86" spans="1:12" x14ac:dyDescent="0.25">
      <c r="A86" s="21">
        <f>A$14</f>
        <v>1752</v>
      </c>
      <c r="B86" s="149">
        <f t="shared" si="34"/>
        <v>7.4755606670500289E-3</v>
      </c>
      <c r="C86" s="20">
        <f t="shared" si="35"/>
        <v>10</v>
      </c>
      <c r="D86" s="21">
        <f>ROUND((TREND($D$77:$D$84,$A$77:$A$84,A86)),0)</f>
        <v>52</v>
      </c>
      <c r="E86" s="22">
        <f>IF(TREND($E$77:$E$85,$C$77:$C$85,C86)&lt;400,TREND($E$77:$E$85,$C$77:$C$85,C86),400)</f>
        <v>14.117907257844751</v>
      </c>
      <c r="F86" s="21">
        <f>D86*E86</f>
        <v>734.131177407927</v>
      </c>
      <c r="G86" s="24">
        <f>'DDS Rates for Amend'!I17</f>
        <v>25.26</v>
      </c>
      <c r="H86" s="33">
        <f>F86*G86</f>
        <v>18544.153541324238</v>
      </c>
      <c r="I86" s="688"/>
      <c r="J86" s="205"/>
    </row>
    <row r="87" spans="1:12" x14ac:dyDescent="0.25">
      <c r="A87" s="21">
        <f>A$15</f>
        <v>1822</v>
      </c>
      <c r="B87" s="149">
        <f t="shared" si="34"/>
        <v>3.9954337899543377E-2</v>
      </c>
      <c r="C87" s="20">
        <f t="shared" si="35"/>
        <v>11</v>
      </c>
      <c r="D87" s="21">
        <f t="shared" ref="D87:D91" si="36">ROUND((TREND($D$77:$D$84,$A$77:$A$84,A87)),0)</f>
        <v>50</v>
      </c>
      <c r="E87" s="22">
        <f t="shared" ref="E87:E91" si="37">IF(TREND($E$77:$E$85,$C$77:$C$85,C87)&lt;400,TREND($E$77:$E$85,$C$77:$C$85,C87),400)</f>
        <v>12.969043250139013</v>
      </c>
      <c r="F87" s="21">
        <f t="shared" ref="F87:F91" si="38">D87*E87</f>
        <v>648.45216250695069</v>
      </c>
      <c r="G87" s="24">
        <f>'DDS Rates for Amend'!I18</f>
        <v>25.91676</v>
      </c>
      <c r="H87" s="33">
        <f t="shared" ref="H87:H91" si="39">F87*G87</f>
        <v>16805.77906717364</v>
      </c>
      <c r="I87" s="688"/>
      <c r="J87" s="205"/>
    </row>
    <row r="88" spans="1:12" x14ac:dyDescent="0.25">
      <c r="A88" s="21">
        <f>A$16</f>
        <v>1872</v>
      </c>
      <c r="B88" s="149">
        <f t="shared" si="34"/>
        <v>2.7442371020856202E-2</v>
      </c>
      <c r="C88" s="20">
        <f t="shared" si="35"/>
        <v>12</v>
      </c>
      <c r="D88" s="21">
        <f t="shared" si="36"/>
        <v>49</v>
      </c>
      <c r="E88" s="22">
        <f t="shared" si="37"/>
        <v>11.820179242433273</v>
      </c>
      <c r="F88" s="21">
        <f t="shared" si="38"/>
        <v>579.18878287923042</v>
      </c>
      <c r="G88" s="24">
        <f>'DDS Rates for Amend'!I19</f>
        <v>26.590595759999999</v>
      </c>
      <c r="H88" s="33">
        <f t="shared" si="39"/>
        <v>15400.974794268024</v>
      </c>
      <c r="I88" s="688"/>
      <c r="J88" s="205"/>
    </row>
    <row r="89" spans="1:12" x14ac:dyDescent="0.25">
      <c r="A89" s="21">
        <f>A$17</f>
        <v>1902</v>
      </c>
      <c r="B89" s="149">
        <f t="shared" si="34"/>
        <v>1.6025641025641024E-2</v>
      </c>
      <c r="C89" s="20">
        <f t="shared" si="35"/>
        <v>13</v>
      </c>
      <c r="D89" s="21">
        <f t="shared" si="36"/>
        <v>48</v>
      </c>
      <c r="E89" s="22">
        <f t="shared" si="37"/>
        <v>10.671315234727533</v>
      </c>
      <c r="F89" s="21">
        <f t="shared" si="38"/>
        <v>512.22313126692165</v>
      </c>
      <c r="G89" s="24">
        <f>'DDS Rates for Amend'!I20</f>
        <v>27.281951249759999</v>
      </c>
      <c r="H89" s="33">
        <f t="shared" si="39"/>
        <v>13974.446496223572</v>
      </c>
      <c r="I89" s="688"/>
      <c r="J89" s="205"/>
    </row>
    <row r="90" spans="1:12" x14ac:dyDescent="0.25">
      <c r="A90" s="21">
        <f>A$18</f>
        <v>1932</v>
      </c>
      <c r="B90" s="149">
        <f t="shared" si="34"/>
        <v>1.5772870662460567E-2</v>
      </c>
      <c r="C90" s="20">
        <f t="shared" si="35"/>
        <v>14</v>
      </c>
      <c r="D90" s="21">
        <f t="shared" si="36"/>
        <v>47</v>
      </c>
      <c r="E90" s="22">
        <f t="shared" si="37"/>
        <v>9.5224512270217971</v>
      </c>
      <c r="F90" s="21">
        <f t="shared" si="38"/>
        <v>447.55520767002446</v>
      </c>
      <c r="G90" s="24">
        <f>'DDS Rates for Amend'!I21</f>
        <v>27.99128198225376</v>
      </c>
      <c r="H90" s="33">
        <f t="shared" si="39"/>
        <v>12527.644020517795</v>
      </c>
      <c r="I90" s="688"/>
      <c r="J90" s="205"/>
    </row>
    <row r="91" spans="1:12" x14ac:dyDescent="0.25">
      <c r="A91" s="21">
        <f>A$19</f>
        <v>1962</v>
      </c>
      <c r="B91" s="149">
        <f t="shared" si="34"/>
        <v>1.5527950310559006E-2</v>
      </c>
      <c r="C91" s="20">
        <f t="shared" si="35"/>
        <v>15</v>
      </c>
      <c r="D91" s="21">
        <f t="shared" si="36"/>
        <v>47</v>
      </c>
      <c r="E91" s="22">
        <f t="shared" si="37"/>
        <v>8.3735872193160574</v>
      </c>
      <c r="F91" s="21">
        <f t="shared" si="38"/>
        <v>393.55859930785471</v>
      </c>
      <c r="G91" s="24">
        <f>'DDS Rates for Amend'!I22</f>
        <v>28.719055313792357</v>
      </c>
      <c r="H91" s="33">
        <f t="shared" si="39"/>
        <v>11302.631182740921</v>
      </c>
      <c r="I91" s="689"/>
      <c r="J91" s="205"/>
      <c r="K91" s="285">
        <f>SUM(H77:H91)</f>
        <v>251595.87910224817</v>
      </c>
      <c r="L91" s="17">
        <f>IF(K91='Appendix J-2'!CD12,0,error)</f>
        <v>0</v>
      </c>
    </row>
    <row r="92" spans="1:12" x14ac:dyDescent="0.25">
      <c r="C92" s="19"/>
      <c r="D92" s="153"/>
      <c r="E92" s="213"/>
      <c r="F92" s="153"/>
      <c r="G92" s="214"/>
      <c r="H92" s="214"/>
      <c r="I92" s="307"/>
      <c r="J92" s="18"/>
    </row>
    <row r="93" spans="1:12" ht="15" customHeight="1" x14ac:dyDescent="0.25">
      <c r="A93" s="701" t="s">
        <v>195</v>
      </c>
      <c r="B93" s="701"/>
      <c r="C93" s="702"/>
      <c r="D93" s="222" t="str">
        <f>'Appendix J-2'!B13</f>
        <v>Visit</v>
      </c>
      <c r="E93" s="223" t="str">
        <f>'Appendix J-2'!C13</f>
        <v>15 minutes</v>
      </c>
      <c r="F93" s="690"/>
      <c r="G93" s="690"/>
      <c r="H93" s="690"/>
      <c r="I93" s="687" t="s">
        <v>1058</v>
      </c>
      <c r="J93" s="205"/>
    </row>
    <row r="94" spans="1:12" x14ac:dyDescent="0.25">
      <c r="A94" s="147" t="s">
        <v>26</v>
      </c>
      <c r="B94" s="147" t="s">
        <v>27</v>
      </c>
      <c r="C94" s="28" t="s">
        <v>166</v>
      </c>
      <c r="D94" s="91" t="s">
        <v>154</v>
      </c>
      <c r="E94" s="89" t="s">
        <v>155</v>
      </c>
      <c r="F94" s="34" t="s">
        <v>158</v>
      </c>
      <c r="G94" s="35" t="s">
        <v>156</v>
      </c>
      <c r="H94" s="51" t="s">
        <v>157</v>
      </c>
      <c r="I94" s="688"/>
      <c r="J94" s="205"/>
    </row>
    <row r="95" spans="1:12" ht="15" customHeight="1" x14ac:dyDescent="0.25">
      <c r="A95" s="21">
        <f>A$5</f>
        <v>1182</v>
      </c>
      <c r="B95" s="148"/>
      <c r="C95" s="32">
        <v>1</v>
      </c>
      <c r="D95" s="247">
        <f>'Appendix J-2'!D13</f>
        <v>102</v>
      </c>
      <c r="E95" s="22">
        <f t="shared" ref="E95:E103" si="40">IF(F95=0,0,F95/D95)</f>
        <v>15.117647058823529</v>
      </c>
      <c r="F95" s="247">
        <f>'Appendix J-2'!F13</f>
        <v>1542</v>
      </c>
      <c r="G95" s="24">
        <f>H95/F95</f>
        <v>15.408560311284047</v>
      </c>
      <c r="H95" s="250">
        <f>'Appendix J-2'!H13</f>
        <v>23760</v>
      </c>
      <c r="I95" s="688"/>
      <c r="J95" s="205"/>
    </row>
    <row r="96" spans="1:12" x14ac:dyDescent="0.25">
      <c r="A96" s="21">
        <f>A$6</f>
        <v>1288</v>
      </c>
      <c r="B96" s="149">
        <f>(A96-A95)/A95</f>
        <v>8.9678510998307953E-2</v>
      </c>
      <c r="C96" s="20">
        <v>2</v>
      </c>
      <c r="D96" s="247">
        <f>'Appendix J-2'!I13</f>
        <v>93</v>
      </c>
      <c r="E96" s="22">
        <f t="shared" si="40"/>
        <v>36.021505376344088</v>
      </c>
      <c r="F96" s="247">
        <f>'Appendix J-2'!K13</f>
        <v>3350</v>
      </c>
      <c r="G96" s="24">
        <f>H96/F96</f>
        <v>15.480970149253732</v>
      </c>
      <c r="H96" s="250">
        <f>'Appendix J-2'!M13</f>
        <v>51861.25</v>
      </c>
      <c r="I96" s="688"/>
      <c r="J96" s="205"/>
    </row>
    <row r="97" spans="1:12" x14ac:dyDescent="0.25">
      <c r="A97" s="21">
        <f>A$7</f>
        <v>1495</v>
      </c>
      <c r="B97" s="149">
        <f t="shared" ref="B97:B109" si="41">(A97-A96)/A96</f>
        <v>0.16071428571428573</v>
      </c>
      <c r="C97" s="20">
        <v>3</v>
      </c>
      <c r="D97" s="247">
        <f>'Appendix J-2'!N13</f>
        <v>138</v>
      </c>
      <c r="E97" s="22">
        <f t="shared" si="40"/>
        <v>22.10144927536232</v>
      </c>
      <c r="F97" s="247">
        <f>'Appendix J-2'!P13</f>
        <v>3050</v>
      </c>
      <c r="G97" s="24">
        <f t="shared" ref="G97:G103" si="42">H97/F97</f>
        <v>15.204098360655738</v>
      </c>
      <c r="H97" s="250">
        <f>'Appendix J-2'!R13</f>
        <v>46372.5</v>
      </c>
      <c r="I97" s="688"/>
      <c r="J97" s="205"/>
    </row>
    <row r="98" spans="1:12" x14ac:dyDescent="0.25">
      <c r="A98" s="21">
        <f>A$8</f>
        <v>1484</v>
      </c>
      <c r="B98" s="149">
        <f t="shared" si="41"/>
        <v>-7.3578595317725752E-3</v>
      </c>
      <c r="C98" s="20">
        <f>C97+1</f>
        <v>4</v>
      </c>
      <c r="D98" s="247">
        <f>'Appendix J-2'!S13</f>
        <v>90</v>
      </c>
      <c r="E98" s="22">
        <f t="shared" si="40"/>
        <v>21.822222222222223</v>
      </c>
      <c r="F98" s="247">
        <f>'Appendix J-2'!U13</f>
        <v>1964</v>
      </c>
      <c r="G98" s="24">
        <f t="shared" si="42"/>
        <v>16.25</v>
      </c>
      <c r="H98" s="250">
        <f>'Appendix J-2'!W13</f>
        <v>31915</v>
      </c>
      <c r="I98" s="688"/>
      <c r="J98" s="205"/>
    </row>
    <row r="99" spans="1:12" x14ac:dyDescent="0.25">
      <c r="A99" s="21">
        <f>A$9</f>
        <v>1528</v>
      </c>
      <c r="B99" s="149">
        <f t="shared" si="41"/>
        <v>2.9649595687331536E-2</v>
      </c>
      <c r="C99" s="20">
        <f t="shared" ref="C99:C109" si="43">C98+1</f>
        <v>5</v>
      </c>
      <c r="D99" s="247">
        <f>'Appendix J-2'!X13</f>
        <v>96</v>
      </c>
      <c r="E99" s="22">
        <f t="shared" si="40"/>
        <v>22.416666666666668</v>
      </c>
      <c r="F99" s="247">
        <f>'Appendix J-2'!Z13</f>
        <v>2152</v>
      </c>
      <c r="G99" s="24">
        <f t="shared" si="42"/>
        <v>16.240706319702603</v>
      </c>
      <c r="H99" s="250">
        <f>'Appendix J-2'!AB13</f>
        <v>34950</v>
      </c>
      <c r="I99" s="688"/>
      <c r="J99" s="205"/>
    </row>
    <row r="100" spans="1:12" x14ac:dyDescent="0.25">
      <c r="A100" s="21">
        <f>A$10</f>
        <v>1592</v>
      </c>
      <c r="B100" s="149">
        <f t="shared" si="41"/>
        <v>4.1884816753926704E-2</v>
      </c>
      <c r="C100" s="20">
        <f t="shared" si="43"/>
        <v>6</v>
      </c>
      <c r="D100" s="249">
        <f>'Appendix J-2'!AC13</f>
        <v>187</v>
      </c>
      <c r="E100" s="22">
        <f t="shared" si="40"/>
        <v>27.058823529411764</v>
      </c>
      <c r="F100" s="249">
        <f>'Appendix J-2'!AE13</f>
        <v>5060</v>
      </c>
      <c r="G100" s="24">
        <f t="shared" si="42"/>
        <v>16.165019762845851</v>
      </c>
      <c r="H100" s="248">
        <f>'Appendix J-2'!AG13</f>
        <v>81795</v>
      </c>
      <c r="I100" s="688"/>
      <c r="J100" s="205"/>
    </row>
    <row r="101" spans="1:12" x14ac:dyDescent="0.25">
      <c r="A101" s="21">
        <f>A$11</f>
        <v>1642</v>
      </c>
      <c r="B101" s="149">
        <f t="shared" si="41"/>
        <v>3.1407035175879394E-2</v>
      </c>
      <c r="C101" s="20">
        <f t="shared" si="43"/>
        <v>7</v>
      </c>
      <c r="D101" s="249">
        <f>'Appendix J-2'!AH13</f>
        <v>156</v>
      </c>
      <c r="E101" s="22">
        <f t="shared" si="40"/>
        <v>33.884615384615387</v>
      </c>
      <c r="F101" s="249">
        <f>'Appendix J-2'!AJ13</f>
        <v>5286</v>
      </c>
      <c r="G101" s="24">
        <f t="shared" si="42"/>
        <v>16.203887627695799</v>
      </c>
      <c r="H101" s="248">
        <f>'Appendix J-2'!AL13</f>
        <v>85653.75</v>
      </c>
      <c r="I101" s="688"/>
      <c r="J101" s="205"/>
    </row>
    <row r="102" spans="1:12" x14ac:dyDescent="0.25">
      <c r="A102" s="21">
        <f>A$12</f>
        <v>1675</v>
      </c>
      <c r="B102" s="149">
        <f t="shared" si="41"/>
        <v>2.0097442143727162E-2</v>
      </c>
      <c r="C102" s="20">
        <f t="shared" si="43"/>
        <v>8</v>
      </c>
      <c r="D102" s="249">
        <f>'Appendix J-2'!AM13</f>
        <v>144</v>
      </c>
      <c r="E102" s="22">
        <f t="shared" si="40"/>
        <v>54.833333333333336</v>
      </c>
      <c r="F102" s="249">
        <f>'Appendix J-2'!AO13</f>
        <v>7896</v>
      </c>
      <c r="G102" s="24">
        <f t="shared" si="42"/>
        <v>16.233535967578522</v>
      </c>
      <c r="H102" s="248">
        <f>'Appendix J-2'!AQ13</f>
        <v>128180</v>
      </c>
      <c r="I102" s="688"/>
      <c r="J102" s="205"/>
    </row>
    <row r="103" spans="1:12" x14ac:dyDescent="0.25">
      <c r="A103" s="21">
        <f>A$13</f>
        <v>1739</v>
      </c>
      <c r="B103" s="149">
        <f t="shared" si="41"/>
        <v>3.8208955223880597E-2</v>
      </c>
      <c r="C103" s="20">
        <f t="shared" si="43"/>
        <v>9</v>
      </c>
      <c r="D103" s="249">
        <f>'Appendix J-2'!AR13</f>
        <v>123</v>
      </c>
      <c r="E103" s="22">
        <f t="shared" si="40"/>
        <v>52.357723577235774</v>
      </c>
      <c r="F103" s="249">
        <f>'Appendix J-2'!AT13</f>
        <v>6440</v>
      </c>
      <c r="G103" s="24">
        <f t="shared" si="42"/>
        <v>22.313664596273291</v>
      </c>
      <c r="H103" s="248">
        <f>'Appendix J-2'!AV13</f>
        <v>143700</v>
      </c>
      <c r="I103" s="688"/>
      <c r="J103" s="205"/>
    </row>
    <row r="104" spans="1:12" x14ac:dyDescent="0.25">
      <c r="A104" s="21">
        <f>A$14</f>
        <v>1752</v>
      </c>
      <c r="B104" s="149">
        <f t="shared" si="41"/>
        <v>7.4755606670500289E-3</v>
      </c>
      <c r="C104" s="20">
        <f t="shared" si="43"/>
        <v>10</v>
      </c>
      <c r="D104" s="21">
        <f>ROUND((TREND($D$95:$D$103,$A$95:$A$103,A104)),0)</f>
        <v>150</v>
      </c>
      <c r="E104" s="22">
        <f>TREND($E$95:$E$103,$C$95:$C$103,C104)</f>
        <v>51.251447669638821</v>
      </c>
      <c r="F104" s="21">
        <f>D104*E104</f>
        <v>7687.7171504458229</v>
      </c>
      <c r="G104" s="24">
        <f>'DDS Rates for Amend'!J17</f>
        <v>25.26</v>
      </c>
      <c r="H104" s="33">
        <f>F104*G104</f>
        <v>194191.7352202615</v>
      </c>
      <c r="I104" s="688"/>
      <c r="J104" s="205"/>
    </row>
    <row r="105" spans="1:12" x14ac:dyDescent="0.25">
      <c r="A105" s="21">
        <f>A$15</f>
        <v>1822</v>
      </c>
      <c r="B105" s="149">
        <f t="shared" si="41"/>
        <v>3.9954337899543377E-2</v>
      </c>
      <c r="C105" s="20">
        <f t="shared" si="43"/>
        <v>11</v>
      </c>
      <c r="D105" s="21">
        <f t="shared" ref="D105:D109" si="44">ROUND((TREND($D$95:$D$103,$A$95:$A$103,A105)),0)</f>
        <v>157</v>
      </c>
      <c r="E105" s="22">
        <f t="shared" ref="E105:E109" si="45">TREND($E$95:$E$103,$C$95:$C$103,C105)</f>
        <v>55.154759727477355</v>
      </c>
      <c r="F105" s="21">
        <f t="shared" ref="F105:F109" si="46">D105*E105</f>
        <v>8659.2972772139456</v>
      </c>
      <c r="G105" s="24">
        <f>'DDS Rates for Amend'!J18</f>
        <v>25.91676</v>
      </c>
      <c r="H105" s="33">
        <f t="shared" ref="H105:H109" si="47">F105*G105</f>
        <v>224420.92930220728</v>
      </c>
      <c r="I105" s="688"/>
      <c r="J105" s="205"/>
    </row>
    <row r="106" spans="1:12" x14ac:dyDescent="0.25">
      <c r="A106" s="21">
        <f>A$16</f>
        <v>1872</v>
      </c>
      <c r="B106" s="149">
        <f t="shared" si="41"/>
        <v>2.7442371020856202E-2</v>
      </c>
      <c r="C106" s="20">
        <f t="shared" si="43"/>
        <v>12</v>
      </c>
      <c r="D106" s="21">
        <f t="shared" si="44"/>
        <v>162</v>
      </c>
      <c r="E106" s="22">
        <f t="shared" si="45"/>
        <v>59.058071785315889</v>
      </c>
      <c r="F106" s="21">
        <f t="shared" si="46"/>
        <v>9567.4076292211739</v>
      </c>
      <c r="G106" s="24">
        <f>'DDS Rates for Amend'!J19</f>
        <v>26.590595759999999</v>
      </c>
      <c r="H106" s="33">
        <f t="shared" si="47"/>
        <v>254403.0687397602</v>
      </c>
      <c r="I106" s="688"/>
      <c r="J106" s="205"/>
    </row>
    <row r="107" spans="1:12" x14ac:dyDescent="0.25">
      <c r="A107" s="21">
        <f>A$17</f>
        <v>1902</v>
      </c>
      <c r="B107" s="149">
        <f t="shared" si="41"/>
        <v>1.6025641025641024E-2</v>
      </c>
      <c r="C107" s="20">
        <f t="shared" si="43"/>
        <v>13</v>
      </c>
      <c r="D107" s="21">
        <f t="shared" si="44"/>
        <v>165</v>
      </c>
      <c r="E107" s="22">
        <f t="shared" si="45"/>
        <v>62.961383843154437</v>
      </c>
      <c r="F107" s="21">
        <f t="shared" si="46"/>
        <v>10388.628334120482</v>
      </c>
      <c r="G107" s="24">
        <f>'DDS Rates for Amend'!J20</f>
        <v>27.281951249759999</v>
      </c>
      <c r="H107" s="33">
        <f t="shared" si="47"/>
        <v>283422.05176335044</v>
      </c>
      <c r="I107" s="688"/>
      <c r="J107" s="205"/>
    </row>
    <row r="108" spans="1:12" x14ac:dyDescent="0.25">
      <c r="A108" s="21">
        <f>A$18</f>
        <v>1932</v>
      </c>
      <c r="B108" s="149">
        <f t="shared" si="41"/>
        <v>1.5772870662460567E-2</v>
      </c>
      <c r="C108" s="20">
        <f t="shared" si="43"/>
        <v>14</v>
      </c>
      <c r="D108" s="21">
        <f t="shared" si="44"/>
        <v>168</v>
      </c>
      <c r="E108" s="22">
        <f t="shared" si="45"/>
        <v>66.86469590099297</v>
      </c>
      <c r="F108" s="21">
        <f t="shared" si="46"/>
        <v>11233.268911366818</v>
      </c>
      <c r="G108" s="24">
        <f>'DDS Rates for Amend'!J21</f>
        <v>27.99128198225376</v>
      </c>
      <c r="H108" s="33">
        <f t="shared" si="47"/>
        <v>314433.59768055333</v>
      </c>
      <c r="I108" s="688"/>
      <c r="J108" s="205"/>
    </row>
    <row r="109" spans="1:12" x14ac:dyDescent="0.25">
      <c r="A109" s="21">
        <f>A$19</f>
        <v>1962</v>
      </c>
      <c r="B109" s="149">
        <f t="shared" si="41"/>
        <v>1.5527950310559006E-2</v>
      </c>
      <c r="C109" s="20">
        <f t="shared" si="43"/>
        <v>15</v>
      </c>
      <c r="D109" s="21">
        <f t="shared" si="44"/>
        <v>171</v>
      </c>
      <c r="E109" s="22">
        <f t="shared" si="45"/>
        <v>70.768007958831504</v>
      </c>
      <c r="F109" s="21">
        <f t="shared" si="46"/>
        <v>12101.329360960188</v>
      </c>
      <c r="G109" s="24">
        <f>'DDS Rates for Amend'!J22</f>
        <v>28.719055313792357</v>
      </c>
      <c r="H109" s="33">
        <f t="shared" si="47"/>
        <v>347538.74728783517</v>
      </c>
      <c r="I109" s="689"/>
      <c r="J109" s="205"/>
      <c r="K109" s="285">
        <f>SUM(H95:H109)</f>
        <v>2246597.6299939677</v>
      </c>
      <c r="L109" s="17">
        <f>IF(K109='Appendix J-2'!CD13,0,error)</f>
        <v>0</v>
      </c>
    </row>
    <row r="110" spans="1:12" x14ac:dyDescent="0.25">
      <c r="C110" s="19"/>
      <c r="D110" s="153"/>
      <c r="E110" s="213"/>
      <c r="F110" s="153"/>
      <c r="G110" s="214"/>
      <c r="H110" s="214"/>
      <c r="I110" s="307"/>
      <c r="J110" s="18"/>
    </row>
    <row r="111" spans="1:12" x14ac:dyDescent="0.25">
      <c r="A111" s="271" t="s">
        <v>338</v>
      </c>
      <c r="B111" s="272"/>
      <c r="C111" s="272"/>
      <c r="D111" s="279" t="str">
        <f>'Appendix J-2'!B14</f>
        <v>Visit</v>
      </c>
      <c r="E111" s="223" t="str">
        <f>'Appendix J-2'!C14</f>
        <v>15 minutes</v>
      </c>
      <c r="F111" s="690"/>
      <c r="G111" s="690"/>
      <c r="H111" s="690"/>
      <c r="I111" s="687" t="s">
        <v>1079</v>
      </c>
      <c r="J111" s="205"/>
    </row>
    <row r="112" spans="1:12" x14ac:dyDescent="0.25">
      <c r="A112" s="147" t="s">
        <v>26</v>
      </c>
      <c r="B112" s="147" t="s">
        <v>27</v>
      </c>
      <c r="C112" s="28" t="s">
        <v>166</v>
      </c>
      <c r="D112" s="91" t="s">
        <v>154</v>
      </c>
      <c r="E112" s="89" t="s">
        <v>155</v>
      </c>
      <c r="F112" s="34" t="s">
        <v>158</v>
      </c>
      <c r="G112" s="35" t="s">
        <v>156</v>
      </c>
      <c r="H112" s="146" t="s">
        <v>157</v>
      </c>
      <c r="I112" s="688"/>
      <c r="J112" s="205"/>
    </row>
    <row r="113" spans="1:13" x14ac:dyDescent="0.25">
      <c r="A113" s="21">
        <f>A$5</f>
        <v>1182</v>
      </c>
      <c r="B113" s="148"/>
      <c r="C113" s="32">
        <v>1</v>
      </c>
      <c r="D113" s="247">
        <f>'linked - DO NOT USE or DELETE'!D9</f>
        <v>36</v>
      </c>
      <c r="E113" s="22">
        <f t="shared" ref="E113:E121" si="48">IF(F113=0,0,F113/D113)</f>
        <v>1091.8611111111111</v>
      </c>
      <c r="F113" s="247">
        <f>'Appendix J-2'!F14</f>
        <v>39307</v>
      </c>
      <c r="G113" s="25">
        <f>H113/F113</f>
        <v>5.0728427506550995</v>
      </c>
      <c r="H113" s="250">
        <f>'Appendix J-2'!H14</f>
        <v>199398.23</v>
      </c>
      <c r="I113" s="688"/>
      <c r="J113" s="205"/>
    </row>
    <row r="114" spans="1:13" x14ac:dyDescent="0.25">
      <c r="A114" s="21">
        <f>A$6</f>
        <v>1288</v>
      </c>
      <c r="B114" s="149">
        <f>(A114-A113)/A113</f>
        <v>8.9678510998307953E-2</v>
      </c>
      <c r="C114" s="20">
        <v>2</v>
      </c>
      <c r="D114" s="247">
        <f>'linked - DO NOT USE or DELETE'!I9</f>
        <v>41</v>
      </c>
      <c r="E114" s="22">
        <f t="shared" si="48"/>
        <v>1470.0975609756097</v>
      </c>
      <c r="F114" s="247">
        <f>'Appendix J-2'!K14</f>
        <v>60274</v>
      </c>
      <c r="G114" s="25">
        <f t="shared" ref="G114:G121" si="49">H114/F114</f>
        <v>5.0174207784451008</v>
      </c>
      <c r="H114" s="250">
        <f>'Appendix J-2'!M14</f>
        <v>302420.02</v>
      </c>
      <c r="I114" s="688"/>
      <c r="J114" s="205"/>
    </row>
    <row r="115" spans="1:13" x14ac:dyDescent="0.25">
      <c r="A115" s="21">
        <f>A$7</f>
        <v>1495</v>
      </c>
      <c r="B115" s="149">
        <f t="shared" ref="B115:B127" si="50">(A115-A114)/A114</f>
        <v>0.16071428571428573</v>
      </c>
      <c r="C115" s="20">
        <v>3</v>
      </c>
      <c r="D115" s="247">
        <f>'linked - DO NOT USE or DELETE'!N9</f>
        <v>48</v>
      </c>
      <c r="E115" s="22">
        <f t="shared" si="48"/>
        <v>1020.9583333333334</v>
      </c>
      <c r="F115" s="247">
        <f>'Appendix J-2'!P14</f>
        <v>49006</v>
      </c>
      <c r="G115" s="25">
        <f t="shared" si="49"/>
        <v>4.9143839529853484</v>
      </c>
      <c r="H115" s="250">
        <f>'Appendix J-2'!R14</f>
        <v>240834.3</v>
      </c>
      <c r="I115" s="688"/>
      <c r="J115" s="205"/>
    </row>
    <row r="116" spans="1:13" x14ac:dyDescent="0.25">
      <c r="A116" s="21">
        <f>A$8</f>
        <v>1484</v>
      </c>
      <c r="B116" s="149">
        <f t="shared" si="50"/>
        <v>-7.3578595317725752E-3</v>
      </c>
      <c r="C116" s="20">
        <f>C115+1</f>
        <v>4</v>
      </c>
      <c r="D116" s="247">
        <f>'Appendix J-2'!S14</f>
        <v>68</v>
      </c>
      <c r="E116" s="22">
        <f t="shared" si="48"/>
        <v>876.07352941176475</v>
      </c>
      <c r="F116" s="247">
        <f>'Appendix J-2'!U14</f>
        <v>59573</v>
      </c>
      <c r="G116" s="25">
        <f t="shared" si="49"/>
        <v>5.078948181223037</v>
      </c>
      <c r="H116" s="250">
        <f>'Appendix J-2'!W14</f>
        <v>302568.18</v>
      </c>
      <c r="I116" s="688"/>
      <c r="J116" s="205"/>
    </row>
    <row r="117" spans="1:13" x14ac:dyDescent="0.25">
      <c r="A117" s="21">
        <f>A$9</f>
        <v>1528</v>
      </c>
      <c r="B117" s="149">
        <f t="shared" si="50"/>
        <v>2.9649595687331536E-2</v>
      </c>
      <c r="C117" s="20">
        <f t="shared" ref="C117:C127" si="51">C116+1</f>
        <v>5</v>
      </c>
      <c r="D117" s="247">
        <f>'Appendix J-2'!X14</f>
        <v>77</v>
      </c>
      <c r="E117" s="22">
        <f t="shared" si="48"/>
        <v>1113.6568831168831</v>
      </c>
      <c r="F117" s="247">
        <f>'Appendix J-2'!Z14</f>
        <v>85751.58</v>
      </c>
      <c r="G117" s="25">
        <f t="shared" si="49"/>
        <v>5.1084182938670049</v>
      </c>
      <c r="H117" s="250">
        <f>'Appendix J-2'!AB14</f>
        <v>438054.94</v>
      </c>
      <c r="I117" s="688"/>
      <c r="J117" s="205"/>
    </row>
    <row r="118" spans="1:13" x14ac:dyDescent="0.25">
      <c r="A118" s="21">
        <f>A$10</f>
        <v>1592</v>
      </c>
      <c r="B118" s="149">
        <f t="shared" si="50"/>
        <v>4.1884816753926704E-2</v>
      </c>
      <c r="C118" s="20">
        <f t="shared" si="51"/>
        <v>6</v>
      </c>
      <c r="D118" s="249">
        <f>'Appendix J-2'!AC14</f>
        <v>158</v>
      </c>
      <c r="E118" s="22">
        <f t="shared" si="48"/>
        <v>918.27848101265818</v>
      </c>
      <c r="F118" s="249">
        <f>'Appendix J-2'!AE14</f>
        <v>145088</v>
      </c>
      <c r="G118" s="25">
        <f t="shared" si="49"/>
        <v>4.9676165499558893</v>
      </c>
      <c r="H118" s="248">
        <f>'Appendix J-2'!AG14</f>
        <v>720741.55</v>
      </c>
      <c r="I118" s="688"/>
      <c r="J118" s="205"/>
    </row>
    <row r="119" spans="1:13" x14ac:dyDescent="0.25">
      <c r="A119" s="21">
        <f>A$11</f>
        <v>1642</v>
      </c>
      <c r="B119" s="149">
        <f t="shared" si="50"/>
        <v>3.1407035175879394E-2</v>
      </c>
      <c r="C119" s="20">
        <f t="shared" si="51"/>
        <v>7</v>
      </c>
      <c r="D119" s="249">
        <f>'Appendix J-2'!AH14</f>
        <v>216</v>
      </c>
      <c r="E119" s="22">
        <f t="shared" si="48"/>
        <v>790.60185185185185</v>
      </c>
      <c r="F119" s="249">
        <f>'Appendix J-2'!AJ14</f>
        <v>170770</v>
      </c>
      <c r="G119" s="25">
        <f t="shared" si="49"/>
        <v>4.9888394917140015</v>
      </c>
      <c r="H119" s="248">
        <f>'Appendix J-2'!AL14</f>
        <v>851944.12</v>
      </c>
      <c r="I119" s="688"/>
      <c r="J119" s="205"/>
    </row>
    <row r="120" spans="1:13" x14ac:dyDescent="0.25">
      <c r="A120" s="21">
        <f>A$12</f>
        <v>1675</v>
      </c>
      <c r="B120" s="149">
        <f t="shared" si="50"/>
        <v>2.0097442143727162E-2</v>
      </c>
      <c r="C120" s="20">
        <f t="shared" si="51"/>
        <v>8</v>
      </c>
      <c r="D120" s="249">
        <f>'Appendix J-2'!AM14</f>
        <v>159</v>
      </c>
      <c r="E120" s="22">
        <f t="shared" si="48"/>
        <v>1120.6100628930817</v>
      </c>
      <c r="F120" s="249">
        <f>'Appendix J-2'!AO14</f>
        <v>178177</v>
      </c>
      <c r="G120" s="25">
        <f t="shared" si="49"/>
        <v>4.9828046268598083</v>
      </c>
      <c r="H120" s="248">
        <f>'Appendix J-2'!AQ14</f>
        <v>887821.18</v>
      </c>
      <c r="I120" s="688"/>
      <c r="J120" s="205"/>
    </row>
    <row r="121" spans="1:13" x14ac:dyDescent="0.25">
      <c r="A121" s="21">
        <f>A$13</f>
        <v>1739</v>
      </c>
      <c r="B121" s="149">
        <f t="shared" si="50"/>
        <v>3.8208955223880597E-2</v>
      </c>
      <c r="C121" s="20">
        <f t="shared" si="51"/>
        <v>9</v>
      </c>
      <c r="D121" s="249">
        <f>'Appendix J-2'!AR14</f>
        <v>167</v>
      </c>
      <c r="E121" s="22">
        <f t="shared" si="48"/>
        <v>924.07185628742513</v>
      </c>
      <c r="F121" s="249">
        <f>'Appendix J-2'!AT14</f>
        <v>154320</v>
      </c>
      <c r="G121" s="25">
        <f t="shared" si="49"/>
        <v>5.0876476801451531</v>
      </c>
      <c r="H121" s="248">
        <f>'Appendix J-2'!AV14</f>
        <v>785125.79</v>
      </c>
      <c r="I121" s="688"/>
      <c r="J121" s="205"/>
    </row>
    <row r="122" spans="1:13" x14ac:dyDescent="0.25">
      <c r="A122" s="21">
        <f>A$14</f>
        <v>1752</v>
      </c>
      <c r="B122" s="149">
        <f t="shared" si="50"/>
        <v>7.4755606670500289E-3</v>
      </c>
      <c r="C122" s="20">
        <f t="shared" si="51"/>
        <v>10</v>
      </c>
      <c r="D122" s="21">
        <f>ROUND((TREND($D$113:$D$121,$A$113:$A$121,A122)),0)</f>
        <v>181</v>
      </c>
      <c r="E122" s="22">
        <f>IF(TREND($E$113:$E$121,$C$113:$C$121,C122)&lt;2880,TREND($E$113:$E$121,$C$113:$C$121,C122),2880)</f>
        <v>858.06822514615794</v>
      </c>
      <c r="F122" s="21">
        <f>D122*E122</f>
        <v>155310.34875145458</v>
      </c>
      <c r="G122" s="24">
        <f>'DDS Rates for Amend'!K17</f>
        <v>5.18</v>
      </c>
      <c r="H122" s="33">
        <f>F122*G122</f>
        <v>804507.6065325347</v>
      </c>
      <c r="I122" s="688"/>
      <c r="J122" s="205"/>
    </row>
    <row r="123" spans="1:13" x14ac:dyDescent="0.25">
      <c r="A123" s="21">
        <f>A$15</f>
        <v>1822</v>
      </c>
      <c r="B123" s="149">
        <f t="shared" si="50"/>
        <v>3.9954337899543377E-2</v>
      </c>
      <c r="C123" s="20">
        <f t="shared" si="51"/>
        <v>11</v>
      </c>
      <c r="D123" s="21">
        <f t="shared" ref="D123:D127" si="52">ROUND((TREND($D$113:$D$121,$A$113:$A$121,A123)),0)</f>
        <v>202</v>
      </c>
      <c r="E123" s="22">
        <f t="shared" ref="E123:E127" si="53">IF(TREND($E$113:$E$121,$C$113:$C$121,C123)&lt;2880,TREND($E$113:$E$121,$C$113:$C$121,C123),2880)</f>
        <v>822.43276639775127</v>
      </c>
      <c r="F123" s="21">
        <f t="shared" ref="F123:F127" si="54">D123*E123</f>
        <v>166131.41881234574</v>
      </c>
      <c r="G123" s="24">
        <f>'DDS Rates for Amend'!K18</f>
        <v>5.3146800000000001</v>
      </c>
      <c r="H123" s="33">
        <f t="shared" ref="H123:H127" si="55">F123*G123</f>
        <v>882935.32893359766</v>
      </c>
      <c r="I123" s="688"/>
      <c r="J123" s="205"/>
    </row>
    <row r="124" spans="1:13" x14ac:dyDescent="0.25">
      <c r="A124" s="21">
        <f>A$16</f>
        <v>1872</v>
      </c>
      <c r="B124" s="149">
        <f t="shared" si="50"/>
        <v>2.7442371020856202E-2</v>
      </c>
      <c r="C124" s="20">
        <f t="shared" si="51"/>
        <v>12</v>
      </c>
      <c r="D124" s="21">
        <f t="shared" si="52"/>
        <v>217</v>
      </c>
      <c r="E124" s="22">
        <f t="shared" si="53"/>
        <v>786.7973076493447</v>
      </c>
      <c r="F124" s="21">
        <f t="shared" si="54"/>
        <v>170735.01575990781</v>
      </c>
      <c r="G124" s="24">
        <f>'DDS Rates for Amend'!K19</f>
        <v>5.4528616799999998</v>
      </c>
      <c r="H124" s="33">
        <f t="shared" si="55"/>
        <v>930994.42487139732</v>
      </c>
      <c r="I124" s="688"/>
      <c r="J124" s="205"/>
    </row>
    <row r="125" spans="1:13" x14ac:dyDescent="0.25">
      <c r="A125" s="21">
        <f>A$17</f>
        <v>1902</v>
      </c>
      <c r="B125" s="149">
        <f t="shared" si="50"/>
        <v>1.6025641025641024E-2</v>
      </c>
      <c r="C125" s="20">
        <f t="shared" si="51"/>
        <v>13</v>
      </c>
      <c r="D125" s="21">
        <f t="shared" si="52"/>
        <v>227</v>
      </c>
      <c r="E125" s="22">
        <f t="shared" si="53"/>
        <v>751.16184890093814</v>
      </c>
      <c r="F125" s="21">
        <f t="shared" si="54"/>
        <v>170513.73970051296</v>
      </c>
      <c r="G125" s="24">
        <f>'DDS Rates for Amend'!K20</f>
        <v>5.5946360836800002</v>
      </c>
      <c r="H125" s="33">
        <f t="shared" si="55"/>
        <v>953962.32089170883</v>
      </c>
      <c r="I125" s="688"/>
      <c r="J125" s="205"/>
    </row>
    <row r="126" spans="1:13" x14ac:dyDescent="0.25">
      <c r="A126" s="21">
        <f>A$18</f>
        <v>1932</v>
      </c>
      <c r="B126" s="149">
        <f t="shared" si="50"/>
        <v>1.5772870662460567E-2</v>
      </c>
      <c r="C126" s="20">
        <f t="shared" si="51"/>
        <v>14</v>
      </c>
      <c r="D126" s="21">
        <f t="shared" si="52"/>
        <v>236</v>
      </c>
      <c r="E126" s="22">
        <f t="shared" si="53"/>
        <v>715.52639015253146</v>
      </c>
      <c r="F126" s="21">
        <f t="shared" si="54"/>
        <v>168864.22807599744</v>
      </c>
      <c r="G126" s="24">
        <f>'DDS Rates for Amend'!K21</f>
        <v>5.7400966218556801</v>
      </c>
      <c r="H126" s="33">
        <f t="shared" si="55"/>
        <v>969296.98513129994</v>
      </c>
      <c r="I126" s="688"/>
      <c r="J126" s="205"/>
    </row>
    <row r="127" spans="1:13" x14ac:dyDescent="0.25">
      <c r="A127" s="21">
        <f>A$19</f>
        <v>1962</v>
      </c>
      <c r="B127" s="149">
        <f t="shared" si="50"/>
        <v>1.5527950310559006E-2</v>
      </c>
      <c r="C127" s="20">
        <f t="shared" si="51"/>
        <v>15</v>
      </c>
      <c r="D127" s="21">
        <f t="shared" si="52"/>
        <v>245</v>
      </c>
      <c r="E127" s="22">
        <f t="shared" si="53"/>
        <v>679.89093140412479</v>
      </c>
      <c r="F127" s="21">
        <f t="shared" si="54"/>
        <v>166573.27819401058</v>
      </c>
      <c r="G127" s="24">
        <f>'DDS Rates for Amend'!K22</f>
        <v>5.8893391340239276</v>
      </c>
      <c r="H127" s="33">
        <f t="shared" si="55"/>
        <v>981006.52595064102</v>
      </c>
      <c r="I127" s="689"/>
      <c r="J127" s="205"/>
      <c r="K127" s="285">
        <f>SUM(H113:H127)</f>
        <v>10251611.502311179</v>
      </c>
      <c r="L127" s="17">
        <f>IF(K127='Appendix J-2'!CD14,0,error)</f>
        <v>0</v>
      </c>
      <c r="M127" s="17" t="s">
        <v>348</v>
      </c>
    </row>
    <row r="128" spans="1:13" x14ac:dyDescent="0.25">
      <c r="C128" s="19"/>
      <c r="D128" s="153"/>
      <c r="E128" s="213"/>
      <c r="F128" s="153"/>
      <c r="G128" s="214"/>
      <c r="H128" s="214"/>
      <c r="I128" s="307"/>
      <c r="J128" s="18"/>
    </row>
    <row r="129" spans="1:19" x14ac:dyDescent="0.25">
      <c r="A129" s="271" t="s">
        <v>337</v>
      </c>
      <c r="B129" s="272"/>
      <c r="C129" s="272"/>
      <c r="D129" s="292" t="str">
        <f>'Appendix J-2'!B15</f>
        <v>Visit</v>
      </c>
      <c r="E129" s="223" t="str">
        <f>'Appendix J-2'!C15</f>
        <v>1 day</v>
      </c>
      <c r="F129" s="690"/>
      <c r="G129" s="690"/>
      <c r="H129" s="690"/>
      <c r="I129" s="687" t="s">
        <v>1078</v>
      </c>
      <c r="J129" s="205"/>
    </row>
    <row r="130" spans="1:19" x14ac:dyDescent="0.25">
      <c r="A130" s="147" t="s">
        <v>26</v>
      </c>
      <c r="B130" s="147" t="s">
        <v>27</v>
      </c>
      <c r="C130" s="28" t="s">
        <v>166</v>
      </c>
      <c r="D130" s="91" t="s">
        <v>154</v>
      </c>
      <c r="E130" s="89" t="s">
        <v>155</v>
      </c>
      <c r="F130" s="34" t="s">
        <v>158</v>
      </c>
      <c r="G130" s="35" t="s">
        <v>156</v>
      </c>
      <c r="H130" s="51" t="s">
        <v>157</v>
      </c>
      <c r="I130" s="688"/>
      <c r="J130" s="205"/>
    </row>
    <row r="131" spans="1:19" x14ac:dyDescent="0.25">
      <c r="A131" s="21">
        <f>A$5</f>
        <v>1182</v>
      </c>
      <c r="B131" s="148"/>
      <c r="C131" s="32">
        <v>1</v>
      </c>
      <c r="D131" s="247">
        <f>'Appendix J-2'!D15</f>
        <v>77</v>
      </c>
      <c r="E131" s="22">
        <f t="shared" ref="E131:E139" si="56">IF(F131=0,0,F131/D131)</f>
        <v>42.103896103896105</v>
      </c>
      <c r="F131" s="247">
        <f>'Appendix J-2'!F15</f>
        <v>3242</v>
      </c>
      <c r="G131" s="25">
        <f>H131/F131</f>
        <v>275.46063541024057</v>
      </c>
      <c r="H131" s="250">
        <f>'Appendix J-2'!H15</f>
        <v>893043.38</v>
      </c>
      <c r="I131" s="688"/>
      <c r="J131" s="205"/>
    </row>
    <row r="132" spans="1:19" x14ac:dyDescent="0.25">
      <c r="A132" s="21">
        <f>A$6</f>
        <v>1288</v>
      </c>
      <c r="B132" s="149">
        <f>(A132-A131)/A131</f>
        <v>8.9678510998307953E-2</v>
      </c>
      <c r="C132" s="20">
        <v>2</v>
      </c>
      <c r="D132" s="247">
        <f>'Appendix J-2'!I15</f>
        <v>92</v>
      </c>
      <c r="E132" s="22">
        <f t="shared" si="56"/>
        <v>28.271739130434781</v>
      </c>
      <c r="F132" s="247">
        <f>'Appendix J-2'!K15</f>
        <v>2601</v>
      </c>
      <c r="G132" s="25">
        <f t="shared" ref="G132:G139" si="57">H132/F132</f>
        <v>310.23836985774705</v>
      </c>
      <c r="H132" s="250">
        <f>'Appendix J-2'!M15</f>
        <v>806930</v>
      </c>
      <c r="I132" s="688"/>
      <c r="J132" s="205"/>
    </row>
    <row r="133" spans="1:19" x14ac:dyDescent="0.25">
      <c r="A133" s="21">
        <f>A$7</f>
        <v>1495</v>
      </c>
      <c r="B133" s="149">
        <f t="shared" ref="B133:B145" si="58">(A133-A132)/A132</f>
        <v>0.16071428571428573</v>
      </c>
      <c r="C133" s="20">
        <v>3</v>
      </c>
      <c r="D133" s="247">
        <f>'Appendix J-2'!N15</f>
        <v>75</v>
      </c>
      <c r="E133" s="22">
        <f t="shared" si="56"/>
        <v>20.053333333333335</v>
      </c>
      <c r="F133" s="247">
        <f>'Appendix J-2'!P15</f>
        <v>1504</v>
      </c>
      <c r="G133" s="25">
        <f t="shared" si="57"/>
        <v>309.89694148936172</v>
      </c>
      <c r="H133" s="250">
        <f>'Appendix J-2'!R15</f>
        <v>466085</v>
      </c>
      <c r="I133" s="688"/>
      <c r="J133" s="205"/>
    </row>
    <row r="134" spans="1:19" x14ac:dyDescent="0.25">
      <c r="A134" s="21">
        <f>A$8</f>
        <v>1484</v>
      </c>
      <c r="B134" s="149">
        <f t="shared" si="58"/>
        <v>-7.3578595317725752E-3</v>
      </c>
      <c r="C134" s="20">
        <f>C133+1</f>
        <v>4</v>
      </c>
      <c r="D134" s="247">
        <f>'Appendix J-2'!S15</f>
        <v>79</v>
      </c>
      <c r="E134" s="22">
        <f t="shared" si="56"/>
        <v>24.379746835443036</v>
      </c>
      <c r="F134" s="247">
        <f>'Appendix J-2'!U15</f>
        <v>1926</v>
      </c>
      <c r="G134" s="25">
        <f t="shared" si="57"/>
        <v>308.078712357217</v>
      </c>
      <c r="H134" s="250">
        <f>'Appendix J-2'!W15</f>
        <v>593359.6</v>
      </c>
      <c r="I134" s="688"/>
      <c r="J134" s="205"/>
    </row>
    <row r="135" spans="1:19" x14ac:dyDescent="0.25">
      <c r="A135" s="21">
        <f>A$9</f>
        <v>1528</v>
      </c>
      <c r="B135" s="149">
        <f t="shared" si="58"/>
        <v>2.9649595687331536E-2</v>
      </c>
      <c r="C135" s="20">
        <f t="shared" ref="C135:C145" si="59">C134+1</f>
        <v>5</v>
      </c>
      <c r="D135" s="247">
        <f>'Appendix J-2'!X15</f>
        <v>73</v>
      </c>
      <c r="E135" s="22">
        <f t="shared" si="56"/>
        <v>17.986301369863014</v>
      </c>
      <c r="F135" s="247">
        <f>'Appendix J-2'!Z15</f>
        <v>1313</v>
      </c>
      <c r="G135" s="25">
        <f t="shared" si="57"/>
        <v>310</v>
      </c>
      <c r="H135" s="250">
        <f>'Appendix J-2'!AB15</f>
        <v>407030</v>
      </c>
      <c r="I135" s="688"/>
      <c r="J135" s="205"/>
    </row>
    <row r="136" spans="1:19" x14ac:dyDescent="0.25">
      <c r="A136" s="21">
        <f>A$10</f>
        <v>1592</v>
      </c>
      <c r="B136" s="149">
        <f t="shared" si="58"/>
        <v>4.1884816753926704E-2</v>
      </c>
      <c r="C136" s="20">
        <f t="shared" si="59"/>
        <v>6</v>
      </c>
      <c r="D136" s="249">
        <f>'Appendix J-2'!AC15</f>
        <v>90</v>
      </c>
      <c r="E136" s="22">
        <f t="shared" si="56"/>
        <v>16.622222222222224</v>
      </c>
      <c r="F136" s="249">
        <f>'Appendix J-2'!AE15</f>
        <v>1496</v>
      </c>
      <c r="G136" s="25">
        <f t="shared" si="57"/>
        <v>307.95390374331549</v>
      </c>
      <c r="H136" s="250">
        <f>'Appendix J-2'!AG15</f>
        <v>460699.04</v>
      </c>
      <c r="I136" s="688"/>
      <c r="J136" s="205"/>
      <c r="N136" s="87" t="s">
        <v>509</v>
      </c>
    </row>
    <row r="137" spans="1:19" x14ac:dyDescent="0.25">
      <c r="A137" s="21">
        <f>A$11</f>
        <v>1642</v>
      </c>
      <c r="B137" s="149">
        <f t="shared" si="58"/>
        <v>3.1407035175879394E-2</v>
      </c>
      <c r="C137" s="20">
        <f t="shared" si="59"/>
        <v>7</v>
      </c>
      <c r="D137" s="249">
        <f>'Appendix J-2'!AH15</f>
        <v>123</v>
      </c>
      <c r="E137" s="22">
        <f t="shared" si="56"/>
        <v>29.772357723577237</v>
      </c>
      <c r="F137" s="249">
        <f>'Appendix J-2'!AJ15</f>
        <v>3662</v>
      </c>
      <c r="G137" s="25">
        <f t="shared" si="57"/>
        <v>310</v>
      </c>
      <c r="H137" s="250">
        <f>'Appendix J-2'!AL15</f>
        <v>1135220</v>
      </c>
      <c r="I137" s="688"/>
      <c r="J137" s="205"/>
      <c r="N137" s="31" t="s">
        <v>506</v>
      </c>
      <c r="O137" s="31">
        <v>2014</v>
      </c>
      <c r="P137" s="31">
        <v>246</v>
      </c>
      <c r="Q137" s="90"/>
    </row>
    <row r="138" spans="1:19" x14ac:dyDescent="0.25">
      <c r="A138" s="21">
        <f>A$12</f>
        <v>1675</v>
      </c>
      <c r="B138" s="149">
        <f t="shared" si="58"/>
        <v>2.0097442143727162E-2</v>
      </c>
      <c r="C138" s="20">
        <f t="shared" si="59"/>
        <v>8</v>
      </c>
      <c r="D138" s="249">
        <f>'Appendix J-2'!AM15</f>
        <v>95</v>
      </c>
      <c r="E138" s="22">
        <f t="shared" si="56"/>
        <v>38.210526315789473</v>
      </c>
      <c r="F138" s="249">
        <f>'Appendix J-2'!AO15</f>
        <v>3630</v>
      </c>
      <c r="G138" s="25">
        <f t="shared" si="57"/>
        <v>311.50984022038568</v>
      </c>
      <c r="H138" s="250">
        <f>'Appendix J-2'!AQ15</f>
        <v>1130780.72</v>
      </c>
      <c r="I138" s="688"/>
      <c r="J138" s="205"/>
      <c r="N138" s="31" t="s">
        <v>507</v>
      </c>
      <c r="O138" s="31">
        <v>2015</v>
      </c>
      <c r="P138" s="31">
        <v>265</v>
      </c>
      <c r="Q138" s="90"/>
    </row>
    <row r="139" spans="1:19" x14ac:dyDescent="0.25">
      <c r="A139" s="21">
        <f>A$13</f>
        <v>1739</v>
      </c>
      <c r="B139" s="149">
        <f t="shared" si="58"/>
        <v>3.8208955223880597E-2</v>
      </c>
      <c r="C139" s="20">
        <f t="shared" si="59"/>
        <v>9</v>
      </c>
      <c r="D139" s="249">
        <f>'Appendix J-2'!AR15</f>
        <v>179</v>
      </c>
      <c r="E139" s="22">
        <f t="shared" si="56"/>
        <v>21.145251396648046</v>
      </c>
      <c r="F139" s="249">
        <f>'Appendix J-2'!AT15</f>
        <v>3785</v>
      </c>
      <c r="G139" s="25">
        <f t="shared" si="57"/>
        <v>393.88500660501984</v>
      </c>
      <c r="H139" s="250">
        <f>'Appendix J-2'!AV15</f>
        <v>1490854.75</v>
      </c>
      <c r="I139" s="688"/>
      <c r="J139" s="205"/>
      <c r="N139" s="31" t="s">
        <v>508</v>
      </c>
      <c r="O139" s="31">
        <v>2016</v>
      </c>
      <c r="P139" s="31">
        <v>303</v>
      </c>
      <c r="Q139" s="90"/>
      <c r="R139" s="326"/>
      <c r="S139" s="87"/>
    </row>
    <row r="140" spans="1:19" x14ac:dyDescent="0.25">
      <c r="A140" s="21">
        <f>A$14</f>
        <v>1752</v>
      </c>
      <c r="B140" s="149">
        <f t="shared" si="58"/>
        <v>7.4755606670500289E-3</v>
      </c>
      <c r="C140" s="20">
        <f t="shared" si="59"/>
        <v>10</v>
      </c>
      <c r="D140" s="21">
        <f>ROUND(TREND($D$136:$D$138,$A$136:$A$138,A140),0)</f>
        <v>115</v>
      </c>
      <c r="E140" s="22">
        <f>IF(TREND($E$136:$E$138,$C$136:$C$138,C140)&lt;30,TREND($E$136:$E$138,$C$136:$C$138,C140),30)</f>
        <v>30</v>
      </c>
      <c r="F140" s="21">
        <f>D140*E140</f>
        <v>3450</v>
      </c>
      <c r="G140" s="24">
        <f>'DDS Rates for Amend'!L17</f>
        <v>404.1</v>
      </c>
      <c r="H140" s="211">
        <f>F140*G140</f>
        <v>1394145</v>
      </c>
      <c r="I140" s="688"/>
      <c r="J140" s="205"/>
      <c r="Q140" s="325"/>
      <c r="R140" s="176"/>
    </row>
    <row r="141" spans="1:19" x14ac:dyDescent="0.25">
      <c r="A141" s="21">
        <f>A$15</f>
        <v>1822</v>
      </c>
      <c r="B141" s="149">
        <f t="shared" si="58"/>
        <v>3.9954337899543377E-2</v>
      </c>
      <c r="C141" s="20">
        <f t="shared" si="59"/>
        <v>11</v>
      </c>
      <c r="D141" s="21">
        <f t="shared" ref="D141:D145" si="60">ROUND(TREND($D$136:$D$138,$A$136:$A$138,A141),0)</f>
        <v>123</v>
      </c>
      <c r="E141" s="22">
        <f t="shared" ref="E141:E145" si="61">IF(TREND($E$136:$E$138,$C$136:$C$138,C141)&lt;30,TREND($E$136:$E$138,$C$136:$C$138,C141),30)</f>
        <v>30</v>
      </c>
      <c r="F141" s="21">
        <f t="shared" ref="F141:F145" si="62">D141*E141</f>
        <v>3690</v>
      </c>
      <c r="G141" s="24">
        <f>'DDS Rates for Amend'!L18</f>
        <v>414.60660000000001</v>
      </c>
      <c r="H141" s="211">
        <f t="shared" ref="H141:H145" si="63">F141*G141</f>
        <v>1529898.3540000001</v>
      </c>
      <c r="I141" s="688"/>
      <c r="J141" s="205"/>
      <c r="Q141" s="325"/>
    </row>
    <row r="142" spans="1:19" x14ac:dyDescent="0.25">
      <c r="A142" s="21">
        <f>A$16</f>
        <v>1872</v>
      </c>
      <c r="B142" s="149">
        <f t="shared" si="58"/>
        <v>2.7442371020856202E-2</v>
      </c>
      <c r="C142" s="20">
        <f t="shared" si="59"/>
        <v>12</v>
      </c>
      <c r="D142" s="21">
        <f t="shared" si="60"/>
        <v>128</v>
      </c>
      <c r="E142" s="22">
        <f t="shared" si="61"/>
        <v>30</v>
      </c>
      <c r="F142" s="21">
        <f t="shared" si="62"/>
        <v>3840</v>
      </c>
      <c r="G142" s="24">
        <f>'DDS Rates for Amend'!L19</f>
        <v>425.38637160000002</v>
      </c>
      <c r="H142" s="211">
        <f t="shared" si="63"/>
        <v>1633483.6669440002</v>
      </c>
      <c r="I142" s="688"/>
      <c r="J142" s="205"/>
      <c r="Q142" s="325"/>
    </row>
    <row r="143" spans="1:19" x14ac:dyDescent="0.25">
      <c r="A143" s="21">
        <f>A$17</f>
        <v>1902</v>
      </c>
      <c r="B143" s="149">
        <f t="shared" si="58"/>
        <v>1.6025641025641024E-2</v>
      </c>
      <c r="C143" s="20">
        <f t="shared" si="59"/>
        <v>13</v>
      </c>
      <c r="D143" s="21">
        <f t="shared" si="60"/>
        <v>132</v>
      </c>
      <c r="E143" s="22">
        <f t="shared" si="61"/>
        <v>30</v>
      </c>
      <c r="F143" s="21">
        <f t="shared" si="62"/>
        <v>3960</v>
      </c>
      <c r="G143" s="24">
        <f>'DDS Rates for Amend'!L20</f>
        <v>436.4464172616</v>
      </c>
      <c r="H143" s="211">
        <f t="shared" si="63"/>
        <v>1728327.812355936</v>
      </c>
      <c r="I143" s="688"/>
      <c r="J143" s="205"/>
      <c r="Q143" s="325"/>
    </row>
    <row r="144" spans="1:19" x14ac:dyDescent="0.25">
      <c r="A144" s="21">
        <f>A$18</f>
        <v>1932</v>
      </c>
      <c r="B144" s="149">
        <f t="shared" si="58"/>
        <v>1.5772870662460567E-2</v>
      </c>
      <c r="C144" s="20">
        <f t="shared" si="59"/>
        <v>14</v>
      </c>
      <c r="D144" s="21">
        <f t="shared" si="60"/>
        <v>135</v>
      </c>
      <c r="E144" s="22">
        <f t="shared" si="61"/>
        <v>30</v>
      </c>
      <c r="F144" s="21">
        <f t="shared" si="62"/>
        <v>4050</v>
      </c>
      <c r="G144" s="24">
        <f>'DDS Rates for Amend'!L21</f>
        <v>447.79402411040161</v>
      </c>
      <c r="H144" s="211">
        <f t="shared" si="63"/>
        <v>1813565.7976471265</v>
      </c>
      <c r="I144" s="688"/>
      <c r="J144" s="205"/>
      <c r="Q144" s="325"/>
    </row>
    <row r="145" spans="1:17" x14ac:dyDescent="0.25">
      <c r="A145" s="21">
        <f>A$19</f>
        <v>1962</v>
      </c>
      <c r="B145" s="149">
        <f t="shared" si="58"/>
        <v>1.5527950310559006E-2</v>
      </c>
      <c r="C145" s="20">
        <f t="shared" si="59"/>
        <v>15</v>
      </c>
      <c r="D145" s="21">
        <f t="shared" si="60"/>
        <v>138</v>
      </c>
      <c r="E145" s="22">
        <f t="shared" si="61"/>
        <v>30</v>
      </c>
      <c r="F145" s="21">
        <f t="shared" si="62"/>
        <v>4140</v>
      </c>
      <c r="G145" s="24">
        <f>'DDS Rates for Amend'!L22</f>
        <v>459.43666873727204</v>
      </c>
      <c r="H145" s="211">
        <f t="shared" si="63"/>
        <v>1902067.8085723063</v>
      </c>
      <c r="I145" s="689"/>
      <c r="J145" s="205"/>
      <c r="K145" s="285">
        <f>SUM(H131:H145)</f>
        <v>17385490.929519366</v>
      </c>
      <c r="L145" s="17">
        <f>IF(K145='Appendix J-2'!CD15,0,error)</f>
        <v>0</v>
      </c>
      <c r="Q145" s="325"/>
    </row>
    <row r="146" spans="1:17" x14ac:dyDescent="0.25">
      <c r="C146" s="19"/>
      <c r="D146" s="153"/>
      <c r="E146" s="213"/>
      <c r="F146" s="153"/>
      <c r="G146" s="214"/>
      <c r="H146" s="214"/>
      <c r="I146" s="307"/>
      <c r="J146" s="18"/>
      <c r="P146" s="324"/>
    </row>
    <row r="147" spans="1:17" x14ac:dyDescent="0.25">
      <c r="A147" s="272" t="s">
        <v>1038</v>
      </c>
      <c r="B147" s="272"/>
      <c r="C147" s="272"/>
      <c r="D147" s="292" t="str">
        <f>'Appendix J-2'!B16</f>
        <v>Visit</v>
      </c>
      <c r="E147" s="404" t="str">
        <f>'Appendix J-2'!C16</f>
        <v>15 minutes</v>
      </c>
      <c r="F147" s="690"/>
      <c r="G147" s="690"/>
      <c r="H147" s="690"/>
      <c r="I147" s="687" t="s">
        <v>1146</v>
      </c>
      <c r="J147" s="205"/>
    </row>
    <row r="148" spans="1:17" x14ac:dyDescent="0.25">
      <c r="A148" s="147" t="s">
        <v>26</v>
      </c>
      <c r="B148" s="147" t="s">
        <v>27</v>
      </c>
      <c r="C148" s="51" t="s">
        <v>166</v>
      </c>
      <c r="D148" s="91" t="s">
        <v>154</v>
      </c>
      <c r="E148" s="89" t="s">
        <v>155</v>
      </c>
      <c r="F148" s="34" t="s">
        <v>158</v>
      </c>
      <c r="G148" s="35" t="s">
        <v>156</v>
      </c>
      <c r="H148" s="51" t="s">
        <v>157</v>
      </c>
      <c r="I148" s="688"/>
      <c r="J148" s="205"/>
    </row>
    <row r="149" spans="1:17" ht="15" customHeight="1" x14ac:dyDescent="0.25">
      <c r="A149" s="21">
        <f>A$5</f>
        <v>1182</v>
      </c>
      <c r="B149" s="148"/>
      <c r="C149" s="144">
        <v>1</v>
      </c>
      <c r="D149" s="210"/>
      <c r="E149" s="22"/>
      <c r="F149" s="210"/>
      <c r="G149" s="24"/>
      <c r="H149" s="211"/>
      <c r="I149" s="688"/>
      <c r="J149" s="205"/>
    </row>
    <row r="150" spans="1:17" x14ac:dyDescent="0.25">
      <c r="A150" s="21">
        <f>A$6</f>
        <v>1288</v>
      </c>
      <c r="B150" s="149">
        <f>(A150-A149)/A149</f>
        <v>8.9678510998307953E-2</v>
      </c>
      <c r="C150" s="52">
        <v>2</v>
      </c>
      <c r="D150" s="210"/>
      <c r="E150" s="22"/>
      <c r="F150" s="210"/>
      <c r="G150" s="24"/>
      <c r="H150" s="211"/>
      <c r="I150" s="688"/>
      <c r="J150" s="205"/>
    </row>
    <row r="151" spans="1:17" x14ac:dyDescent="0.25">
      <c r="A151" s="21">
        <f>A$7</f>
        <v>1495</v>
      </c>
      <c r="B151" s="149">
        <f t="shared" ref="B151:B163" si="64">(A151-A150)/A150</f>
        <v>0.16071428571428573</v>
      </c>
      <c r="C151" s="52">
        <v>3</v>
      </c>
      <c r="D151" s="210"/>
      <c r="E151" s="22"/>
      <c r="F151" s="210"/>
      <c r="G151" s="24"/>
      <c r="H151" s="33"/>
      <c r="I151" s="688"/>
      <c r="J151" s="205"/>
    </row>
    <row r="152" spans="1:17" x14ac:dyDescent="0.25">
      <c r="A152" s="21">
        <f>A$8</f>
        <v>1484</v>
      </c>
      <c r="B152" s="149">
        <f t="shared" si="64"/>
        <v>-7.3578595317725752E-3</v>
      </c>
      <c r="C152" s="52">
        <f>C151+1</f>
        <v>4</v>
      </c>
      <c r="D152" s="210"/>
      <c r="E152" s="22"/>
      <c r="F152" s="210"/>
      <c r="G152" s="24"/>
      <c r="H152" s="33"/>
      <c r="I152" s="688"/>
      <c r="J152" s="205"/>
    </row>
    <row r="153" spans="1:17" x14ac:dyDescent="0.25">
      <c r="A153" s="21">
        <f>A$9</f>
        <v>1528</v>
      </c>
      <c r="B153" s="149">
        <f t="shared" si="64"/>
        <v>2.9649595687331536E-2</v>
      </c>
      <c r="C153" s="52">
        <f t="shared" ref="C153:C163" si="65">C152+1</f>
        <v>5</v>
      </c>
      <c r="D153" s="210"/>
      <c r="E153" s="22"/>
      <c r="F153" s="210"/>
      <c r="G153" s="24"/>
      <c r="H153" s="33"/>
      <c r="I153" s="688"/>
      <c r="J153" s="205"/>
    </row>
    <row r="154" spans="1:17" x14ac:dyDescent="0.25">
      <c r="A154" s="21">
        <f>A$10</f>
        <v>1592</v>
      </c>
      <c r="B154" s="149">
        <f t="shared" si="64"/>
        <v>4.1884816753926704E-2</v>
      </c>
      <c r="C154" s="20">
        <f t="shared" si="65"/>
        <v>6</v>
      </c>
      <c r="D154" s="21"/>
      <c r="E154" s="22"/>
      <c r="F154" s="21"/>
      <c r="G154" s="24"/>
      <c r="H154" s="33"/>
      <c r="I154" s="688"/>
      <c r="J154" s="205"/>
    </row>
    <row r="155" spans="1:17" x14ac:dyDescent="0.25">
      <c r="A155" s="21">
        <f>A$11</f>
        <v>1642</v>
      </c>
      <c r="B155" s="149">
        <f t="shared" si="64"/>
        <v>3.1407035175879394E-2</v>
      </c>
      <c r="C155" s="20">
        <f t="shared" si="65"/>
        <v>7</v>
      </c>
      <c r="D155" s="21"/>
      <c r="E155" s="22"/>
      <c r="F155" s="21"/>
      <c r="G155" s="24"/>
      <c r="H155" s="33"/>
      <c r="I155" s="688"/>
      <c r="J155" s="205"/>
    </row>
    <row r="156" spans="1:17" x14ac:dyDescent="0.25">
      <c r="A156" s="21">
        <f>A$12</f>
        <v>1675</v>
      </c>
      <c r="B156" s="149">
        <f t="shared" si="64"/>
        <v>2.0097442143727162E-2</v>
      </c>
      <c r="C156" s="20">
        <f t="shared" si="65"/>
        <v>8</v>
      </c>
      <c r="D156" s="21"/>
      <c r="E156" s="22"/>
      <c r="F156" s="21"/>
      <c r="G156" s="24"/>
      <c r="H156" s="33"/>
      <c r="I156" s="688"/>
      <c r="J156" s="205"/>
    </row>
    <row r="157" spans="1:17" x14ac:dyDescent="0.25">
      <c r="A157" s="21">
        <f>A$13</f>
        <v>1739</v>
      </c>
      <c r="B157" s="149">
        <f t="shared" si="64"/>
        <v>3.8208955223880597E-2</v>
      </c>
      <c r="C157" s="20">
        <f t="shared" si="65"/>
        <v>9</v>
      </c>
      <c r="D157" s="21"/>
      <c r="E157" s="22"/>
      <c r="F157" s="21"/>
      <c r="G157" s="24"/>
      <c r="H157" s="33"/>
      <c r="I157" s="688"/>
      <c r="J157" s="205"/>
    </row>
    <row r="158" spans="1:17" x14ac:dyDescent="0.25">
      <c r="A158" s="21">
        <f>A$14</f>
        <v>1752</v>
      </c>
      <c r="B158" s="149">
        <f t="shared" si="64"/>
        <v>7.4755606670500289E-3</v>
      </c>
      <c r="C158" s="20">
        <f t="shared" si="65"/>
        <v>10</v>
      </c>
      <c r="D158" s="21"/>
      <c r="E158" s="22"/>
      <c r="F158" s="26"/>
      <c r="G158" s="25"/>
      <c r="H158" s="145"/>
      <c r="I158" s="688"/>
      <c r="J158" s="205"/>
    </row>
    <row r="159" spans="1:17" x14ac:dyDescent="0.25">
      <c r="A159" s="21">
        <f>A$15</f>
        <v>1822</v>
      </c>
      <c r="B159" s="149">
        <f t="shared" si="64"/>
        <v>3.9954337899543377E-2</v>
      </c>
      <c r="C159" s="20">
        <f t="shared" si="65"/>
        <v>11</v>
      </c>
      <c r="D159" s="21">
        <v>8</v>
      </c>
      <c r="E159" s="23">
        <f>E177</f>
        <v>27.856194207027542</v>
      </c>
      <c r="F159" s="21">
        <f t="shared" ref="F159:F163" si="66">D159*E159</f>
        <v>222.84955365622034</v>
      </c>
      <c r="G159" s="25">
        <f>'DDS Rates for Amend'!DG18</f>
        <v>6.31</v>
      </c>
      <c r="H159" s="33">
        <f t="shared" ref="H159:H163" si="67">F159*G159</f>
        <v>1406.1806835707503</v>
      </c>
      <c r="I159" s="688"/>
      <c r="J159" s="205"/>
    </row>
    <row r="160" spans="1:17" x14ac:dyDescent="0.25">
      <c r="A160" s="21">
        <f>A$16</f>
        <v>1872</v>
      </c>
      <c r="B160" s="149">
        <f t="shared" si="64"/>
        <v>2.7442371020856202E-2</v>
      </c>
      <c r="C160" s="20">
        <f t="shared" si="65"/>
        <v>12</v>
      </c>
      <c r="D160" s="21">
        <v>12</v>
      </c>
      <c r="E160" s="23">
        <f>E178</f>
        <v>23.633637226970563</v>
      </c>
      <c r="F160" s="21">
        <f t="shared" si="66"/>
        <v>283.60364672364676</v>
      </c>
      <c r="G160" s="25">
        <f>'DDS Rates for Amend'!DG19</f>
        <v>6.4740599999999997</v>
      </c>
      <c r="H160" s="33">
        <f t="shared" si="67"/>
        <v>1836.0670251076924</v>
      </c>
      <c r="I160" s="688"/>
      <c r="J160" s="205"/>
    </row>
    <row r="161" spans="1:11" x14ac:dyDescent="0.25">
      <c r="A161" s="21">
        <f>A$17</f>
        <v>1902</v>
      </c>
      <c r="B161" s="149">
        <f t="shared" si="64"/>
        <v>1.6025641025641024E-2</v>
      </c>
      <c r="C161" s="20">
        <f t="shared" si="65"/>
        <v>13</v>
      </c>
      <c r="D161" s="21">
        <v>24</v>
      </c>
      <c r="E161" s="23">
        <f>E179</f>
        <v>19.411080246913585</v>
      </c>
      <c r="F161" s="21">
        <f t="shared" si="66"/>
        <v>465.86592592592604</v>
      </c>
      <c r="G161" s="25">
        <f>'DDS Rates for Amend'!DG20</f>
        <v>6.6423855599999992</v>
      </c>
      <c r="H161" s="33">
        <f t="shared" si="67"/>
        <v>3094.4610992664002</v>
      </c>
      <c r="I161" s="688"/>
      <c r="J161" s="205"/>
    </row>
    <row r="162" spans="1:11" x14ac:dyDescent="0.25">
      <c r="A162" s="21">
        <f>A$18</f>
        <v>1932</v>
      </c>
      <c r="B162" s="149">
        <f t="shared" si="64"/>
        <v>1.5772870662460567E-2</v>
      </c>
      <c r="C162" s="20">
        <f t="shared" si="65"/>
        <v>14</v>
      </c>
      <c r="D162" s="21">
        <v>24</v>
      </c>
      <c r="E162" s="23">
        <f>E180</f>
        <v>15.188523266856606</v>
      </c>
      <c r="F162" s="21">
        <f t="shared" si="66"/>
        <v>364.52455840455855</v>
      </c>
      <c r="G162" s="25">
        <f>'DDS Rates for Amend'!DG21</f>
        <v>6.8150875845599996</v>
      </c>
      <c r="H162" s="33">
        <f t="shared" si="67"/>
        <v>2484.2667922501232</v>
      </c>
      <c r="I162" s="688"/>
      <c r="J162" s="205"/>
    </row>
    <row r="163" spans="1:11" x14ac:dyDescent="0.25">
      <c r="A163" s="21">
        <f>A$19</f>
        <v>1962</v>
      </c>
      <c r="B163" s="149">
        <f t="shared" si="64"/>
        <v>1.5527950310559006E-2</v>
      </c>
      <c r="C163" s="20">
        <f t="shared" si="65"/>
        <v>15</v>
      </c>
      <c r="D163" s="21">
        <v>24</v>
      </c>
      <c r="E163" s="23">
        <f>E181</f>
        <v>10.965966286799627</v>
      </c>
      <c r="F163" s="21">
        <f t="shared" si="66"/>
        <v>263.18319088319106</v>
      </c>
      <c r="G163" s="25">
        <f>'DDS Rates for Amend'!DG22</f>
        <v>6.9922798617585595</v>
      </c>
      <c r="H163" s="33">
        <f t="shared" si="67"/>
        <v>1840.2505255658957</v>
      </c>
      <c r="I163" s="689"/>
      <c r="J163" s="205"/>
      <c r="K163" s="285">
        <f>SUM(H149:H163)</f>
        <v>10661.226125760862</v>
      </c>
    </row>
    <row r="165" spans="1:11" x14ac:dyDescent="0.25">
      <c r="A165" s="272" t="s">
        <v>1037</v>
      </c>
      <c r="B165" s="272"/>
      <c r="C165" s="272"/>
      <c r="D165" s="292" t="str">
        <f>'Appendix J-2'!B17</f>
        <v>Visit</v>
      </c>
      <c r="E165" s="223" t="str">
        <f>'Appendix J-2'!C17</f>
        <v>15 minutes</v>
      </c>
      <c r="F165" s="690"/>
      <c r="G165" s="690"/>
      <c r="H165" s="690"/>
      <c r="I165" s="687" t="s">
        <v>1145</v>
      </c>
      <c r="J165" s="205"/>
    </row>
    <row r="166" spans="1:11" x14ac:dyDescent="0.25">
      <c r="A166" s="147" t="s">
        <v>26</v>
      </c>
      <c r="B166" s="147" t="s">
        <v>27</v>
      </c>
      <c r="C166" s="43" t="s">
        <v>166</v>
      </c>
      <c r="D166" s="91" t="s">
        <v>154</v>
      </c>
      <c r="E166" s="89" t="s">
        <v>155</v>
      </c>
      <c r="F166" s="34" t="s">
        <v>158</v>
      </c>
      <c r="G166" s="35" t="s">
        <v>156</v>
      </c>
      <c r="H166" s="51" t="s">
        <v>157</v>
      </c>
      <c r="I166" s="688"/>
      <c r="J166" s="205"/>
    </row>
    <row r="167" spans="1:11" ht="15" customHeight="1" x14ac:dyDescent="0.25">
      <c r="A167" s="21">
        <f>A$5</f>
        <v>1182</v>
      </c>
      <c r="B167" s="148"/>
      <c r="C167" s="144">
        <v>1</v>
      </c>
      <c r="D167" s="247">
        <f>'Appendix J-2'!D17</f>
        <v>48</v>
      </c>
      <c r="E167" s="23">
        <f>IF(F167=0,0,F167/D167)</f>
        <v>37.354166666666664</v>
      </c>
      <c r="F167" s="247">
        <f>'Appendix J-2'!F17</f>
        <v>1793</v>
      </c>
      <c r="G167" s="25">
        <f>H167/F167</f>
        <v>15</v>
      </c>
      <c r="H167" s="250">
        <f>'Appendix J-2'!H17</f>
        <v>26895</v>
      </c>
      <c r="I167" s="688"/>
      <c r="J167" s="205"/>
    </row>
    <row r="168" spans="1:11" x14ac:dyDescent="0.25">
      <c r="A168" s="21">
        <f>A$6</f>
        <v>1288</v>
      </c>
      <c r="B168" s="149">
        <f>(A168-A167)/A167</f>
        <v>8.9678510998307953E-2</v>
      </c>
      <c r="C168" s="52">
        <v>2</v>
      </c>
      <c r="D168" s="247">
        <f>'Appendix J-2'!I17</f>
        <v>39</v>
      </c>
      <c r="E168" s="23">
        <f t="shared" ref="E168:E175" si="68">IF(F168=0,0,F168/D168)</f>
        <v>55.897435897435898</v>
      </c>
      <c r="F168" s="247">
        <f>'Appendix J-2'!K17</f>
        <v>2180</v>
      </c>
      <c r="G168" s="25">
        <f t="shared" ref="G168:G175" si="69">H168/F168</f>
        <v>15</v>
      </c>
      <c r="H168" s="250">
        <f>'Appendix J-2'!M17</f>
        <v>32700</v>
      </c>
      <c r="I168" s="688"/>
      <c r="J168" s="205"/>
    </row>
    <row r="169" spans="1:11" x14ac:dyDescent="0.25">
      <c r="A169" s="21">
        <f>A$7</f>
        <v>1495</v>
      </c>
      <c r="B169" s="149">
        <f t="shared" ref="B169:B181" si="70">(A169-A168)/A168</f>
        <v>0.16071428571428573</v>
      </c>
      <c r="C169" s="52">
        <v>3</v>
      </c>
      <c r="D169" s="247">
        <f>'Appendix J-2'!N17</f>
        <v>18</v>
      </c>
      <c r="E169" s="23">
        <f t="shared" si="68"/>
        <v>138.72222222222223</v>
      </c>
      <c r="F169" s="247">
        <f>'Appendix J-2'!P17</f>
        <v>2497</v>
      </c>
      <c r="G169" s="25">
        <f t="shared" si="69"/>
        <v>15</v>
      </c>
      <c r="H169" s="248">
        <f>'Appendix J-2'!R17</f>
        <v>37455</v>
      </c>
      <c r="I169" s="688"/>
      <c r="J169" s="205"/>
    </row>
    <row r="170" spans="1:11" x14ac:dyDescent="0.25">
      <c r="A170" s="21">
        <f>A$8</f>
        <v>1484</v>
      </c>
      <c r="B170" s="149">
        <f t="shared" si="70"/>
        <v>-7.3578595317725752E-3</v>
      </c>
      <c r="C170" s="52">
        <f>C169+1</f>
        <v>4</v>
      </c>
      <c r="D170" s="247">
        <f>'Appendix J-2'!S17</f>
        <v>10</v>
      </c>
      <c r="E170" s="22">
        <f t="shared" si="68"/>
        <v>72.099999999999994</v>
      </c>
      <c r="F170" s="247">
        <f>'Appendix J-2'!U17</f>
        <v>721</v>
      </c>
      <c r="G170" s="24">
        <f t="shared" si="69"/>
        <v>14.972260748959778</v>
      </c>
      <c r="H170" s="248">
        <f>'Appendix J-2'!W17</f>
        <v>10795</v>
      </c>
      <c r="I170" s="688"/>
      <c r="J170" s="205"/>
    </row>
    <row r="171" spans="1:11" x14ac:dyDescent="0.25">
      <c r="A171" s="21">
        <f>A$9</f>
        <v>1528</v>
      </c>
      <c r="B171" s="149">
        <f t="shared" si="70"/>
        <v>2.9649595687331536E-2</v>
      </c>
      <c r="C171" s="52">
        <f t="shared" ref="C171:C181" si="71">C170+1</f>
        <v>5</v>
      </c>
      <c r="D171" s="247">
        <f>'Appendix J-2'!X17</f>
        <v>8</v>
      </c>
      <c r="E171" s="22">
        <f t="shared" si="68"/>
        <v>20.75</v>
      </c>
      <c r="F171" s="247">
        <f>'Appendix J-2'!Z17</f>
        <v>166</v>
      </c>
      <c r="G171" s="24">
        <f t="shared" si="69"/>
        <v>13.554216867469879</v>
      </c>
      <c r="H171" s="248">
        <f>'Appendix J-2'!AB17</f>
        <v>2250</v>
      </c>
      <c r="I171" s="688"/>
      <c r="J171" s="205"/>
    </row>
    <row r="172" spans="1:11" x14ac:dyDescent="0.25">
      <c r="A172" s="21">
        <f>A$10</f>
        <v>1592</v>
      </c>
      <c r="B172" s="149">
        <f t="shared" si="70"/>
        <v>4.1884816753926704E-2</v>
      </c>
      <c r="C172" s="20">
        <f t="shared" si="71"/>
        <v>6</v>
      </c>
      <c r="D172" s="249">
        <f>'Appendix J-2'!AC17</f>
        <v>5</v>
      </c>
      <c r="E172" s="22">
        <f t="shared" si="68"/>
        <v>30</v>
      </c>
      <c r="F172" s="249">
        <f>'Appendix J-2'!AE17</f>
        <v>150</v>
      </c>
      <c r="G172" s="24">
        <f t="shared" si="69"/>
        <v>15</v>
      </c>
      <c r="H172" s="248">
        <f>'Appendix J-2'!AG17</f>
        <v>2250</v>
      </c>
      <c r="I172" s="688"/>
      <c r="J172" s="205"/>
    </row>
    <row r="173" spans="1:11" x14ac:dyDescent="0.25">
      <c r="A173" s="21">
        <f>A$11</f>
        <v>1642</v>
      </c>
      <c r="B173" s="149">
        <f t="shared" si="70"/>
        <v>3.1407035175879394E-2</v>
      </c>
      <c r="C173" s="20">
        <f t="shared" si="71"/>
        <v>7</v>
      </c>
      <c r="D173" s="249">
        <f>'Appendix J-2'!AH17</f>
        <v>5</v>
      </c>
      <c r="E173" s="22">
        <f t="shared" si="68"/>
        <v>6.4</v>
      </c>
      <c r="F173" s="249">
        <f>'Appendix J-2'!AJ17</f>
        <v>32</v>
      </c>
      <c r="G173" s="24">
        <f t="shared" si="69"/>
        <v>15</v>
      </c>
      <c r="H173" s="248">
        <f>'Appendix J-2'!AL17</f>
        <v>480</v>
      </c>
      <c r="I173" s="688"/>
      <c r="J173" s="205"/>
    </row>
    <row r="174" spans="1:11" x14ac:dyDescent="0.25">
      <c r="A174" s="21">
        <f>A$12</f>
        <v>1675</v>
      </c>
      <c r="B174" s="149">
        <f t="shared" si="70"/>
        <v>2.0097442143727162E-2</v>
      </c>
      <c r="C174" s="20">
        <f t="shared" si="71"/>
        <v>8</v>
      </c>
      <c r="D174" s="249">
        <f>'Appendix J-2'!AM17</f>
        <v>2</v>
      </c>
      <c r="E174" s="22">
        <f t="shared" si="68"/>
        <v>99.5</v>
      </c>
      <c r="F174" s="249">
        <f>'Appendix J-2'!AO17</f>
        <v>199</v>
      </c>
      <c r="G174" s="24">
        <f t="shared" si="69"/>
        <v>15</v>
      </c>
      <c r="H174" s="248">
        <f>'Appendix J-2'!AQ17</f>
        <v>2985</v>
      </c>
      <c r="I174" s="688"/>
      <c r="J174" s="205"/>
    </row>
    <row r="175" spans="1:11" x14ac:dyDescent="0.25">
      <c r="A175" s="21">
        <f>A$13</f>
        <v>1739</v>
      </c>
      <c r="B175" s="149">
        <f t="shared" si="70"/>
        <v>3.8208955223880597E-2</v>
      </c>
      <c r="C175" s="20">
        <f t="shared" si="71"/>
        <v>9</v>
      </c>
      <c r="D175" s="249">
        <f>'Appendix J-2'!AR17</f>
        <v>1</v>
      </c>
      <c r="E175" s="22">
        <f t="shared" si="68"/>
        <v>18</v>
      </c>
      <c r="F175" s="249">
        <f>'Appendix J-2'!AT17</f>
        <v>18</v>
      </c>
      <c r="G175" s="24">
        <f t="shared" si="69"/>
        <v>15.200000000000001</v>
      </c>
      <c r="H175" s="248">
        <f>'Appendix J-2'!AV17</f>
        <v>273.60000000000002</v>
      </c>
      <c r="I175" s="688"/>
      <c r="J175" s="205"/>
    </row>
    <row r="176" spans="1:11" x14ac:dyDescent="0.25">
      <c r="A176" s="21">
        <f>A$14</f>
        <v>1752</v>
      </c>
      <c r="B176" s="149">
        <f t="shared" si="70"/>
        <v>7.4755606670500289E-3</v>
      </c>
      <c r="C176" s="20">
        <f t="shared" si="71"/>
        <v>10</v>
      </c>
      <c r="D176" s="21">
        <f>ROUND(IF(TREND($D$167:$D$175,$A$167:$A$175,A176)&gt;0,TREND($D$167:$D$175,$A$167:$A$175,A176),0),0)</f>
        <v>0</v>
      </c>
      <c r="E176" s="22">
        <f>IF(TREND($E$167:$E$175,$C$167:$C$175,C176)&lt;400,TREND($E$167:$E$175,$C$167:$C$175,C176),400)</f>
        <v>32.078751187084521</v>
      </c>
      <c r="F176" s="21">
        <f>D176*E176</f>
        <v>0</v>
      </c>
      <c r="G176" s="24">
        <f>'DDS Rates for Amend'!M17</f>
        <v>15.36</v>
      </c>
      <c r="H176" s="33">
        <f>F176*G176</f>
        <v>0</v>
      </c>
      <c r="I176" s="688"/>
      <c r="J176" s="205"/>
    </row>
    <row r="177" spans="1:13" x14ac:dyDescent="0.25">
      <c r="A177" s="21">
        <f>A$15</f>
        <v>1822</v>
      </c>
      <c r="B177" s="149">
        <f t="shared" si="70"/>
        <v>3.9954337899543377E-2</v>
      </c>
      <c r="C177" s="20">
        <f t="shared" si="71"/>
        <v>11</v>
      </c>
      <c r="D177" s="21">
        <f>ROUND(D159/2,0)</f>
        <v>4</v>
      </c>
      <c r="E177" s="22">
        <f t="shared" ref="E177:E181" si="72">IF(TREND($E$167:$E$175,$C$167:$C$175,C177)&lt;400,TREND($E$167:$E$175,$C$167:$C$175,C177),400)</f>
        <v>27.856194207027542</v>
      </c>
      <c r="F177" s="21">
        <f t="shared" ref="F177:F181" si="73">D177*E177</f>
        <v>111.42477682811017</v>
      </c>
      <c r="G177" s="24">
        <f>'DDS Rates for Amend'!M18</f>
        <v>15.759359999999999</v>
      </c>
      <c r="H177" s="33">
        <f t="shared" ref="H177:H181" si="74">F177*G177</f>
        <v>1755.9831709538462</v>
      </c>
      <c r="I177" s="688"/>
      <c r="J177" s="205"/>
    </row>
    <row r="178" spans="1:13" x14ac:dyDescent="0.25">
      <c r="A178" s="21">
        <f>A$16</f>
        <v>1872</v>
      </c>
      <c r="B178" s="149">
        <f t="shared" si="70"/>
        <v>2.7442371020856202E-2</v>
      </c>
      <c r="C178" s="20">
        <f t="shared" si="71"/>
        <v>12</v>
      </c>
      <c r="D178" s="21">
        <f t="shared" ref="D178:D181" si="75">ROUND(D160/2,0)</f>
        <v>6</v>
      </c>
      <c r="E178" s="22">
        <f t="shared" si="72"/>
        <v>23.633637226970563</v>
      </c>
      <c r="F178" s="21">
        <f t="shared" si="73"/>
        <v>141.80182336182338</v>
      </c>
      <c r="G178" s="24">
        <f>'DDS Rates for Amend'!M19</f>
        <v>16.169103359999998</v>
      </c>
      <c r="H178" s="33">
        <f t="shared" si="74"/>
        <v>2292.8083385737846</v>
      </c>
      <c r="I178" s="688"/>
      <c r="J178" s="205"/>
    </row>
    <row r="179" spans="1:13" x14ac:dyDescent="0.25">
      <c r="A179" s="21">
        <f>A$17</f>
        <v>1902</v>
      </c>
      <c r="B179" s="149">
        <f t="shared" si="70"/>
        <v>1.6025641025641024E-2</v>
      </c>
      <c r="C179" s="20">
        <f t="shared" si="71"/>
        <v>13</v>
      </c>
      <c r="D179" s="21">
        <f t="shared" si="75"/>
        <v>12</v>
      </c>
      <c r="E179" s="22">
        <f t="shared" si="72"/>
        <v>19.411080246913585</v>
      </c>
      <c r="F179" s="21">
        <f t="shared" si="73"/>
        <v>232.93296296296302</v>
      </c>
      <c r="G179" s="24">
        <f>'DDS Rates for Amend'!M20</f>
        <v>16.589500047359998</v>
      </c>
      <c r="H179" s="33">
        <f t="shared" si="74"/>
        <v>3864.2414001057796</v>
      </c>
      <c r="I179" s="688"/>
      <c r="J179" s="205"/>
    </row>
    <row r="180" spans="1:13" x14ac:dyDescent="0.25">
      <c r="A180" s="21">
        <f>A$18</f>
        <v>1932</v>
      </c>
      <c r="B180" s="149">
        <f t="shared" si="70"/>
        <v>1.5772870662460567E-2</v>
      </c>
      <c r="C180" s="20">
        <f t="shared" si="71"/>
        <v>14</v>
      </c>
      <c r="D180" s="21">
        <f t="shared" si="75"/>
        <v>12</v>
      </c>
      <c r="E180" s="22">
        <f t="shared" si="72"/>
        <v>15.188523266856606</v>
      </c>
      <c r="F180" s="21">
        <f t="shared" si="73"/>
        <v>182.26227920227927</v>
      </c>
      <c r="G180" s="24">
        <f>'DDS Rates for Amend'!M21</f>
        <v>17.020827048591357</v>
      </c>
      <c r="H180" s="33">
        <f t="shared" si="74"/>
        <v>3102.2547317840649</v>
      </c>
      <c r="I180" s="688"/>
      <c r="J180" s="205"/>
    </row>
    <row r="181" spans="1:13" x14ac:dyDescent="0.25">
      <c r="A181" s="21">
        <f>A$19</f>
        <v>1962</v>
      </c>
      <c r="B181" s="149">
        <f t="shared" si="70"/>
        <v>1.5527950310559006E-2</v>
      </c>
      <c r="C181" s="20">
        <f t="shared" si="71"/>
        <v>15</v>
      </c>
      <c r="D181" s="21">
        <f t="shared" si="75"/>
        <v>12</v>
      </c>
      <c r="E181" s="22">
        <f t="shared" si="72"/>
        <v>10.965966286799627</v>
      </c>
      <c r="F181" s="21">
        <f t="shared" si="73"/>
        <v>131.59159544159553</v>
      </c>
      <c r="G181" s="24">
        <f>'DDS Rates for Amend'!M22</f>
        <v>17.463368551854732</v>
      </c>
      <c r="H181" s="33">
        <f t="shared" si="74"/>
        <v>2298.0325295231501</v>
      </c>
      <c r="I181" s="689"/>
      <c r="J181" s="205"/>
      <c r="K181" s="285">
        <f>SUM(H167:H181)</f>
        <v>129396.92017094062</v>
      </c>
      <c r="L181" s="17" t="e">
        <f>IF(K181='Appendix J-2'!CD16,0,error)</f>
        <v>#NAME?</v>
      </c>
      <c r="M181" s="17" t="s">
        <v>349</v>
      </c>
    </row>
    <row r="183" spans="1:13" x14ac:dyDescent="0.25">
      <c r="A183" s="332" t="s">
        <v>145</v>
      </c>
      <c r="B183" s="332"/>
      <c r="C183" s="332"/>
      <c r="D183" s="333" t="str">
        <f>'Appendix J-2'!B18</f>
        <v>Visit</v>
      </c>
      <c r="E183" s="334" t="str">
        <f>'Appendix J-2'!C18</f>
        <v>15 minutes</v>
      </c>
      <c r="F183" s="703"/>
      <c r="G183" s="703"/>
      <c r="H183" s="703"/>
      <c r="I183" s="705" t="s">
        <v>1082</v>
      </c>
      <c r="J183" s="205"/>
    </row>
    <row r="184" spans="1:13" x14ac:dyDescent="0.25">
      <c r="A184" s="340" t="s">
        <v>26</v>
      </c>
      <c r="B184" s="340" t="s">
        <v>27</v>
      </c>
      <c r="C184" s="323" t="s">
        <v>166</v>
      </c>
      <c r="D184" s="341" t="s">
        <v>154</v>
      </c>
      <c r="E184" s="342" t="s">
        <v>155</v>
      </c>
      <c r="F184" s="343" t="s">
        <v>158</v>
      </c>
      <c r="G184" s="323" t="s">
        <v>156</v>
      </c>
      <c r="H184" s="323" t="s">
        <v>157</v>
      </c>
      <c r="I184" s="706"/>
      <c r="J184" s="205"/>
    </row>
    <row r="185" spans="1:13" ht="15" customHeight="1" x14ac:dyDescent="0.25">
      <c r="A185" s="344">
        <f>A$5</f>
        <v>1182</v>
      </c>
      <c r="B185" s="344"/>
      <c r="C185" s="345">
        <v>1</v>
      </c>
      <c r="D185" s="346">
        <f>'Appendix J-2'!D18</f>
        <v>0</v>
      </c>
      <c r="E185" s="347">
        <f t="shared" ref="E185:E193" si="76">IF(F185=0,0,F185/D185)</f>
        <v>0</v>
      </c>
      <c r="F185" s="346">
        <f>'Appendix J-2'!F18</f>
        <v>0</v>
      </c>
      <c r="G185" s="348" t="e">
        <f t="shared" ref="G185:G193" si="77">H185/F185</f>
        <v>#DIV/0!</v>
      </c>
      <c r="H185" s="349">
        <f>'Appendix J-2'!H18</f>
        <v>0</v>
      </c>
      <c r="I185" s="706"/>
      <c r="J185" s="205"/>
    </row>
    <row r="186" spans="1:13" x14ac:dyDescent="0.25">
      <c r="A186" s="344">
        <f>A$6</f>
        <v>1288</v>
      </c>
      <c r="B186" s="350">
        <f>(A186-A185)/A185</f>
        <v>8.9678510998307953E-2</v>
      </c>
      <c r="C186" s="351">
        <v>2</v>
      </c>
      <c r="D186" s="346">
        <f>'Appendix J-2'!I18</f>
        <v>0</v>
      </c>
      <c r="E186" s="347">
        <f t="shared" si="76"/>
        <v>0</v>
      </c>
      <c r="F186" s="346">
        <f>'Appendix J-2'!P18</f>
        <v>0</v>
      </c>
      <c r="G186" s="348" t="e">
        <f t="shared" si="77"/>
        <v>#DIV/0!</v>
      </c>
      <c r="H186" s="349">
        <f>'Appendix J-2'!M18</f>
        <v>0</v>
      </c>
      <c r="I186" s="706"/>
      <c r="J186" s="205"/>
    </row>
    <row r="187" spans="1:13" x14ac:dyDescent="0.25">
      <c r="A187" s="344">
        <f>A$7</f>
        <v>1495</v>
      </c>
      <c r="B187" s="350">
        <f t="shared" ref="B187:B199" si="78">(A187-A186)/A186</f>
        <v>0.16071428571428573</v>
      </c>
      <c r="C187" s="351">
        <v>3</v>
      </c>
      <c r="D187" s="346">
        <f>'Appendix J-2'!N18</f>
        <v>0</v>
      </c>
      <c r="E187" s="347">
        <f t="shared" si="76"/>
        <v>0</v>
      </c>
      <c r="F187" s="346">
        <f>'Appendix J-2'!P18</f>
        <v>0</v>
      </c>
      <c r="G187" s="348" t="e">
        <f t="shared" si="77"/>
        <v>#DIV/0!</v>
      </c>
      <c r="H187" s="352">
        <f>'Appendix J-2'!R18</f>
        <v>0</v>
      </c>
      <c r="I187" s="706"/>
      <c r="J187" s="205"/>
    </row>
    <row r="188" spans="1:13" x14ac:dyDescent="0.25">
      <c r="A188" s="344">
        <f>A$8</f>
        <v>1484</v>
      </c>
      <c r="B188" s="350">
        <f t="shared" si="78"/>
        <v>-7.3578595317725752E-3</v>
      </c>
      <c r="C188" s="351">
        <f>C187+1</f>
        <v>4</v>
      </c>
      <c r="D188" s="346">
        <f>'Appendix J-2'!S18</f>
        <v>0</v>
      </c>
      <c r="E188" s="347">
        <f t="shared" si="76"/>
        <v>0</v>
      </c>
      <c r="F188" s="346">
        <f>'Appendix J-2'!U18</f>
        <v>0</v>
      </c>
      <c r="G188" s="348" t="e">
        <f t="shared" si="77"/>
        <v>#DIV/0!</v>
      </c>
      <c r="H188" s="352">
        <f>'Appendix J-2'!W18</f>
        <v>0</v>
      </c>
      <c r="I188" s="706"/>
      <c r="J188" s="205"/>
    </row>
    <row r="189" spans="1:13" x14ac:dyDescent="0.25">
      <c r="A189" s="344">
        <f>A$9</f>
        <v>1528</v>
      </c>
      <c r="B189" s="350">
        <f t="shared" si="78"/>
        <v>2.9649595687331536E-2</v>
      </c>
      <c r="C189" s="351">
        <f t="shared" ref="C189:C199" si="79">C188+1</f>
        <v>5</v>
      </c>
      <c r="D189" s="344">
        <f>'Appendix J-2'!X18</f>
        <v>0</v>
      </c>
      <c r="E189" s="347">
        <f t="shared" si="76"/>
        <v>0</v>
      </c>
      <c r="F189" s="346">
        <f>'Appendix J-2'!Z18</f>
        <v>0</v>
      </c>
      <c r="G189" s="348" t="e">
        <f t="shared" si="77"/>
        <v>#DIV/0!</v>
      </c>
      <c r="H189" s="352">
        <f>'Appendix J-2'!AB18</f>
        <v>0</v>
      </c>
      <c r="I189" s="706"/>
      <c r="J189" s="205"/>
    </row>
    <row r="190" spans="1:13" x14ac:dyDescent="0.25">
      <c r="A190" s="344">
        <f>A$10</f>
        <v>1592</v>
      </c>
      <c r="B190" s="350">
        <f t="shared" si="78"/>
        <v>4.1884816753926704E-2</v>
      </c>
      <c r="C190" s="351">
        <f t="shared" si="79"/>
        <v>6</v>
      </c>
      <c r="D190" s="344">
        <f>'Appendix J-2'!AC18</f>
        <v>0</v>
      </c>
      <c r="E190" s="347">
        <f t="shared" si="76"/>
        <v>0</v>
      </c>
      <c r="F190" s="344">
        <f>'Appendix J-2'!AC18</f>
        <v>0</v>
      </c>
      <c r="G190" s="348" t="e">
        <f t="shared" si="77"/>
        <v>#DIV/0!</v>
      </c>
      <c r="H190" s="352">
        <f>'Appendix J-2'!AG18</f>
        <v>0</v>
      </c>
      <c r="I190" s="706"/>
      <c r="J190" s="205"/>
    </row>
    <row r="191" spans="1:13" x14ac:dyDescent="0.25">
      <c r="A191" s="344">
        <f>A$11</f>
        <v>1642</v>
      </c>
      <c r="B191" s="350">
        <f t="shared" si="78"/>
        <v>3.1407035175879394E-2</v>
      </c>
      <c r="C191" s="351">
        <f t="shared" si="79"/>
        <v>7</v>
      </c>
      <c r="D191" s="344">
        <f>'Appendix J-2'!AH18</f>
        <v>0</v>
      </c>
      <c r="E191" s="347">
        <f t="shared" si="76"/>
        <v>0</v>
      </c>
      <c r="F191" s="344">
        <f>'Appendix J-2'!AJ18</f>
        <v>0</v>
      </c>
      <c r="G191" s="348" t="e">
        <f t="shared" si="77"/>
        <v>#DIV/0!</v>
      </c>
      <c r="H191" s="352">
        <f>'Appendix J-2'!AL18</f>
        <v>0</v>
      </c>
      <c r="I191" s="706"/>
      <c r="J191" s="205"/>
    </row>
    <row r="192" spans="1:13" x14ac:dyDescent="0.25">
      <c r="A192" s="344">
        <f>A$12</f>
        <v>1675</v>
      </c>
      <c r="B192" s="350">
        <f t="shared" si="78"/>
        <v>2.0097442143727162E-2</v>
      </c>
      <c r="C192" s="351">
        <f t="shared" si="79"/>
        <v>8</v>
      </c>
      <c r="D192" s="344">
        <f>'Appendix J-2'!AM18</f>
        <v>0</v>
      </c>
      <c r="E192" s="347">
        <f t="shared" si="76"/>
        <v>0</v>
      </c>
      <c r="F192" s="344">
        <f>'Appendix J-2'!AO18</f>
        <v>0</v>
      </c>
      <c r="G192" s="348" t="e">
        <f t="shared" si="77"/>
        <v>#DIV/0!</v>
      </c>
      <c r="H192" s="352">
        <f>'Appendix J-2'!AQ18</f>
        <v>0</v>
      </c>
      <c r="I192" s="706"/>
      <c r="J192" s="205"/>
    </row>
    <row r="193" spans="1:12" x14ac:dyDescent="0.25">
      <c r="A193" s="344">
        <f>A$13</f>
        <v>1739</v>
      </c>
      <c r="B193" s="350">
        <f t="shared" si="78"/>
        <v>3.8208955223880597E-2</v>
      </c>
      <c r="C193" s="351">
        <f t="shared" si="79"/>
        <v>9</v>
      </c>
      <c r="D193" s="344">
        <f>'Appendix J-2'!AR18</f>
        <v>0</v>
      </c>
      <c r="E193" s="347">
        <f t="shared" si="76"/>
        <v>0</v>
      </c>
      <c r="F193" s="344">
        <f>'Appendix J-2'!AT18</f>
        <v>0</v>
      </c>
      <c r="G193" s="348" t="e">
        <f t="shared" si="77"/>
        <v>#DIV/0!</v>
      </c>
      <c r="H193" s="352">
        <f>'Appendix J-2'!AV18</f>
        <v>0</v>
      </c>
      <c r="I193" s="706"/>
      <c r="J193" s="205"/>
    </row>
    <row r="194" spans="1:12" x14ac:dyDescent="0.25">
      <c r="A194" s="344">
        <f>A$14</f>
        <v>1752</v>
      </c>
      <c r="B194" s="350">
        <f t="shared" si="78"/>
        <v>7.4755606670500289E-3</v>
      </c>
      <c r="C194" s="351">
        <f t="shared" si="79"/>
        <v>10</v>
      </c>
      <c r="D194" s="344">
        <f>ROUND((TREND($D$185:$D$193,$A$185:$A$193,A194)),0)</f>
        <v>0</v>
      </c>
      <c r="E194" s="347">
        <f>IF(TREND($E$185:$E$193,$A$185:$A$193,A194)&lt;400,TREND($E$185:$E$193,$A$185:$A$193,A194),400)</f>
        <v>0</v>
      </c>
      <c r="F194" s="344">
        <f>D194*E194</f>
        <v>0</v>
      </c>
      <c r="G194" s="348">
        <f>'DDS Rates for Amend'!N17</f>
        <v>15.36</v>
      </c>
      <c r="H194" s="352">
        <f>F194*G194</f>
        <v>0</v>
      </c>
      <c r="I194" s="706"/>
      <c r="J194" s="205"/>
    </row>
    <row r="195" spans="1:12" x14ac:dyDescent="0.25">
      <c r="A195" s="344">
        <f>A$15</f>
        <v>1822</v>
      </c>
      <c r="B195" s="350">
        <f t="shared" si="78"/>
        <v>3.9954337899543377E-2</v>
      </c>
      <c r="C195" s="351">
        <f t="shared" si="79"/>
        <v>11</v>
      </c>
      <c r="D195" s="344">
        <f t="shared" ref="D195:D199" si="80">ROUND((TREND($D$185:$D$193,$A$185:$A$193,A195)),0)</f>
        <v>0</v>
      </c>
      <c r="E195" s="347">
        <f t="shared" ref="E195:E199" si="81">IF(TREND($E$185:$E$193,$A$185:$A$193,A195)&lt;400,TREND($E$185:$E$193,$A$185:$A$193,A195),400)</f>
        <v>0</v>
      </c>
      <c r="F195" s="344">
        <f t="shared" ref="F195:F199" si="82">D195*E195</f>
        <v>0</v>
      </c>
      <c r="G195" s="348">
        <f>'DDS Rates for Amend'!N18</f>
        <v>15.759359999999999</v>
      </c>
      <c r="H195" s="352">
        <f t="shared" ref="H195:H199" si="83">F195*G195</f>
        <v>0</v>
      </c>
      <c r="I195" s="706"/>
      <c r="J195" s="205"/>
    </row>
    <row r="196" spans="1:12" x14ac:dyDescent="0.25">
      <c r="A196" s="344">
        <f>A$16</f>
        <v>1872</v>
      </c>
      <c r="B196" s="350">
        <f t="shared" si="78"/>
        <v>2.7442371020856202E-2</v>
      </c>
      <c r="C196" s="351">
        <f t="shared" si="79"/>
        <v>12</v>
      </c>
      <c r="D196" s="344">
        <f t="shared" si="80"/>
        <v>0</v>
      </c>
      <c r="E196" s="347">
        <f t="shared" si="81"/>
        <v>0</v>
      </c>
      <c r="F196" s="344">
        <f t="shared" si="82"/>
        <v>0</v>
      </c>
      <c r="G196" s="348">
        <f>'DDS Rates for Amend'!N19</f>
        <v>16.169103359999998</v>
      </c>
      <c r="H196" s="352">
        <f t="shared" si="83"/>
        <v>0</v>
      </c>
      <c r="I196" s="706"/>
      <c r="J196" s="205"/>
    </row>
    <row r="197" spans="1:12" x14ac:dyDescent="0.25">
      <c r="A197" s="344">
        <f>A$17</f>
        <v>1902</v>
      </c>
      <c r="B197" s="350">
        <f t="shared" si="78"/>
        <v>1.6025641025641024E-2</v>
      </c>
      <c r="C197" s="351">
        <f t="shared" si="79"/>
        <v>13</v>
      </c>
      <c r="D197" s="344">
        <f t="shared" si="80"/>
        <v>0</v>
      </c>
      <c r="E197" s="347">
        <f t="shared" si="81"/>
        <v>0</v>
      </c>
      <c r="F197" s="344">
        <f t="shared" si="82"/>
        <v>0</v>
      </c>
      <c r="G197" s="348">
        <f>'DDS Rates for Amend'!N20</f>
        <v>16.589500047359998</v>
      </c>
      <c r="H197" s="352">
        <f t="shared" si="83"/>
        <v>0</v>
      </c>
      <c r="I197" s="706"/>
      <c r="J197" s="205"/>
    </row>
    <row r="198" spans="1:12" x14ac:dyDescent="0.25">
      <c r="A198" s="344">
        <f>A$18</f>
        <v>1932</v>
      </c>
      <c r="B198" s="350">
        <f t="shared" si="78"/>
        <v>1.5772870662460567E-2</v>
      </c>
      <c r="C198" s="351">
        <f t="shared" si="79"/>
        <v>14</v>
      </c>
      <c r="D198" s="344">
        <f t="shared" si="80"/>
        <v>0</v>
      </c>
      <c r="E198" s="347">
        <f t="shared" si="81"/>
        <v>0</v>
      </c>
      <c r="F198" s="344">
        <f t="shared" si="82"/>
        <v>0</v>
      </c>
      <c r="G198" s="348">
        <f>'DDS Rates for Amend'!N21</f>
        <v>17.020827048591357</v>
      </c>
      <c r="H198" s="352">
        <f t="shared" si="83"/>
        <v>0</v>
      </c>
      <c r="I198" s="706"/>
      <c r="J198" s="205"/>
    </row>
    <row r="199" spans="1:12" x14ac:dyDescent="0.25">
      <c r="A199" s="344">
        <f>A$19</f>
        <v>1962</v>
      </c>
      <c r="B199" s="350">
        <f t="shared" si="78"/>
        <v>1.5527950310559006E-2</v>
      </c>
      <c r="C199" s="351">
        <f t="shared" si="79"/>
        <v>15</v>
      </c>
      <c r="D199" s="344">
        <f t="shared" si="80"/>
        <v>0</v>
      </c>
      <c r="E199" s="347">
        <f t="shared" si="81"/>
        <v>0</v>
      </c>
      <c r="F199" s="344">
        <f t="shared" si="82"/>
        <v>0</v>
      </c>
      <c r="G199" s="348">
        <f>'DDS Rates for Amend'!N22</f>
        <v>17.463368551854732</v>
      </c>
      <c r="H199" s="352">
        <f t="shared" si="83"/>
        <v>0</v>
      </c>
      <c r="I199" s="707"/>
      <c r="J199" s="205"/>
      <c r="K199" s="285">
        <f>SUM(H185:H199)</f>
        <v>0</v>
      </c>
      <c r="L199" s="17">
        <f>IF(K199='Appendix J-2'!CD1,0,error)</f>
        <v>0</v>
      </c>
    </row>
    <row r="201" spans="1:12" x14ac:dyDescent="0.25">
      <c r="A201" s="272" t="s">
        <v>558</v>
      </c>
      <c r="B201" s="272"/>
      <c r="C201" s="272"/>
      <c r="D201" s="292" t="str">
        <f>'Appendix J-2'!B19</f>
        <v>Initial assessment</v>
      </c>
      <c r="E201" s="223" t="str">
        <f>'Appendix J-2'!C19</f>
        <v>flat rate</v>
      </c>
      <c r="F201" s="690"/>
      <c r="G201" s="690"/>
      <c r="H201" s="690"/>
      <c r="I201" s="687" t="s">
        <v>1077</v>
      </c>
      <c r="J201" s="205"/>
    </row>
    <row r="202" spans="1:12" x14ac:dyDescent="0.25">
      <c r="A202" s="147" t="s">
        <v>26</v>
      </c>
      <c r="B202" s="147" t="s">
        <v>27</v>
      </c>
      <c r="C202" s="51" t="s">
        <v>166</v>
      </c>
      <c r="D202" s="91" t="s">
        <v>154</v>
      </c>
      <c r="E202" s="89" t="s">
        <v>155</v>
      </c>
      <c r="F202" s="34" t="s">
        <v>158</v>
      </c>
      <c r="G202" s="35" t="s">
        <v>156</v>
      </c>
      <c r="H202" s="51" t="s">
        <v>157</v>
      </c>
      <c r="I202" s="688"/>
      <c r="J202" s="205"/>
    </row>
    <row r="203" spans="1:12" x14ac:dyDescent="0.25">
      <c r="A203" s="21">
        <f>A$5</f>
        <v>1182</v>
      </c>
      <c r="B203" s="148"/>
      <c r="C203" s="144">
        <v>1</v>
      </c>
      <c r="D203" s="247">
        <f>'Appendix J-2'!D1</f>
        <v>0</v>
      </c>
      <c r="E203" s="22">
        <f>IF(F203=0,0,F203/D203)</f>
        <v>0</v>
      </c>
      <c r="F203" s="247">
        <f>'Appendix J-2'!F1</f>
        <v>0</v>
      </c>
      <c r="G203" s="24" t="e">
        <f>H203/F203</f>
        <v>#DIV/0!</v>
      </c>
      <c r="H203" s="250">
        <f>'Appendix J-2'!H1</f>
        <v>0</v>
      </c>
      <c r="I203" s="688"/>
      <c r="J203" s="205"/>
    </row>
    <row r="204" spans="1:12" x14ac:dyDescent="0.25">
      <c r="A204" s="21">
        <f>A$6</f>
        <v>1288</v>
      </c>
      <c r="B204" s="149">
        <f>(A204-A203)/A203</f>
        <v>8.9678510998307953E-2</v>
      </c>
      <c r="C204" s="52">
        <v>2</v>
      </c>
      <c r="D204" s="247">
        <f>'Appendix J-2'!I1</f>
        <v>0</v>
      </c>
      <c r="E204" s="22">
        <f t="shared" ref="E204:E211" si="84">IF(F204=0,0,F204/D204)</f>
        <v>0</v>
      </c>
      <c r="F204" s="247">
        <f>'Appendix J-2'!K1</f>
        <v>0</v>
      </c>
      <c r="G204" s="24" t="e">
        <f t="shared" ref="G204:G211" si="85">H204/F204</f>
        <v>#DIV/0!</v>
      </c>
      <c r="H204" s="250">
        <f>'Appendix J-2'!M1</f>
        <v>0</v>
      </c>
      <c r="I204" s="688"/>
      <c r="J204" s="205"/>
    </row>
    <row r="205" spans="1:12" x14ac:dyDescent="0.25">
      <c r="A205" s="21">
        <f>A$7</f>
        <v>1495</v>
      </c>
      <c r="B205" s="149">
        <f t="shared" ref="B205:B217" si="86">(A205-A204)/A204</f>
        <v>0.16071428571428573</v>
      </c>
      <c r="C205" s="52">
        <v>3</v>
      </c>
      <c r="D205" s="247">
        <f>'Appendix J-2'!N1</f>
        <v>0</v>
      </c>
      <c r="E205" s="22">
        <f t="shared" si="84"/>
        <v>0</v>
      </c>
      <c r="F205" s="247">
        <f>'Appendix J-2'!P1</f>
        <v>0</v>
      </c>
      <c r="G205" s="24" t="e">
        <f t="shared" si="85"/>
        <v>#DIV/0!</v>
      </c>
      <c r="H205" s="248">
        <f>'Appendix J-2'!R1</f>
        <v>0</v>
      </c>
      <c r="I205" s="688"/>
      <c r="J205" s="205"/>
    </row>
    <row r="206" spans="1:12" x14ac:dyDescent="0.25">
      <c r="A206" s="21">
        <f>A$8</f>
        <v>1484</v>
      </c>
      <c r="B206" s="149">
        <f t="shared" si="86"/>
        <v>-7.3578595317725752E-3</v>
      </c>
      <c r="C206" s="52">
        <f>C205+1</f>
        <v>4</v>
      </c>
      <c r="D206" s="247">
        <f>'Appendix J-2'!S1</f>
        <v>0</v>
      </c>
      <c r="E206" s="22">
        <f t="shared" si="84"/>
        <v>0</v>
      </c>
      <c r="F206" s="247">
        <f>'Appendix J-2'!U1</f>
        <v>0</v>
      </c>
      <c r="G206" s="24" t="e">
        <f t="shared" si="85"/>
        <v>#DIV/0!</v>
      </c>
      <c r="H206" s="248">
        <f>'Appendix J-2'!W1</f>
        <v>0</v>
      </c>
      <c r="I206" s="688"/>
      <c r="J206" s="205"/>
    </row>
    <row r="207" spans="1:12" x14ac:dyDescent="0.25">
      <c r="A207" s="21">
        <f>A$9</f>
        <v>1528</v>
      </c>
      <c r="B207" s="149">
        <f t="shared" si="86"/>
        <v>2.9649595687331536E-2</v>
      </c>
      <c r="C207" s="52">
        <f t="shared" ref="C207:C217" si="87">C206+1</f>
        <v>5</v>
      </c>
      <c r="D207" s="247">
        <f>'Appendix J-2'!X1</f>
        <v>0</v>
      </c>
      <c r="E207" s="22">
        <f t="shared" si="84"/>
        <v>0</v>
      </c>
      <c r="F207" s="247">
        <f>'Appendix J-2'!Z1</f>
        <v>0</v>
      </c>
      <c r="G207" s="24" t="e">
        <f t="shared" si="85"/>
        <v>#DIV/0!</v>
      </c>
      <c r="H207" s="248">
        <f>'Appendix J-2'!AB1</f>
        <v>0</v>
      </c>
      <c r="I207" s="688"/>
      <c r="J207" s="205"/>
    </row>
    <row r="208" spans="1:12" x14ac:dyDescent="0.25">
      <c r="A208" s="21">
        <f>A$10</f>
        <v>1592</v>
      </c>
      <c r="B208" s="149">
        <f t="shared" si="86"/>
        <v>4.1884816753926704E-2</v>
      </c>
      <c r="C208" s="20">
        <f t="shared" si="87"/>
        <v>6</v>
      </c>
      <c r="D208" s="249">
        <f>'Appendix J-2'!AC1</f>
        <v>0</v>
      </c>
      <c r="E208" s="22">
        <f t="shared" si="84"/>
        <v>0</v>
      </c>
      <c r="F208" s="247">
        <f>'Appendix J-2'!AE1</f>
        <v>0</v>
      </c>
      <c r="G208" s="24" t="e">
        <f t="shared" si="85"/>
        <v>#DIV/0!</v>
      </c>
      <c r="H208" s="248">
        <f>'Appendix J-2'!AG1</f>
        <v>0</v>
      </c>
      <c r="I208" s="688"/>
      <c r="J208" s="205"/>
    </row>
    <row r="209" spans="1:35" x14ac:dyDescent="0.25">
      <c r="A209" s="21">
        <f>A$11</f>
        <v>1642</v>
      </c>
      <c r="B209" s="149">
        <f t="shared" si="86"/>
        <v>3.1407035175879394E-2</v>
      </c>
      <c r="C209" s="20">
        <f t="shared" si="87"/>
        <v>7</v>
      </c>
      <c r="D209" s="249">
        <f>'Appendix J-2'!AH1</f>
        <v>0</v>
      </c>
      <c r="E209" s="22">
        <f t="shared" si="84"/>
        <v>0</v>
      </c>
      <c r="F209" s="247">
        <f>'Appendix J-2'!AJ19</f>
        <v>0</v>
      </c>
      <c r="G209" s="24" t="e">
        <f t="shared" si="85"/>
        <v>#DIV/0!</v>
      </c>
      <c r="H209" s="248">
        <f>'Appendix J-2'!AL1</f>
        <v>0</v>
      </c>
      <c r="I209" s="688"/>
      <c r="J209" s="205"/>
    </row>
    <row r="210" spans="1:35" x14ac:dyDescent="0.25">
      <c r="A210" s="21">
        <f>A$12</f>
        <v>1675</v>
      </c>
      <c r="B210" s="149">
        <f t="shared" si="86"/>
        <v>2.0097442143727162E-2</v>
      </c>
      <c r="C210" s="20">
        <f t="shared" si="87"/>
        <v>8</v>
      </c>
      <c r="D210" s="249">
        <f>'Appendix J-2'!AM19</f>
        <v>0</v>
      </c>
      <c r="E210" s="22">
        <f t="shared" si="84"/>
        <v>0</v>
      </c>
      <c r="F210" s="247">
        <f>'Appendix J-2'!AO19</f>
        <v>0</v>
      </c>
      <c r="G210" s="24" t="e">
        <f t="shared" si="85"/>
        <v>#DIV/0!</v>
      </c>
      <c r="H210" s="248">
        <f>'Appendix J-2'!AQ1</f>
        <v>0</v>
      </c>
      <c r="I210" s="688"/>
      <c r="J210" s="205"/>
    </row>
    <row r="211" spans="1:35" x14ac:dyDescent="0.25">
      <c r="A211" s="21">
        <f>A$13</f>
        <v>1739</v>
      </c>
      <c r="B211" s="149">
        <f t="shared" si="86"/>
        <v>3.8208955223880597E-2</v>
      </c>
      <c r="C211" s="20">
        <f t="shared" si="87"/>
        <v>9</v>
      </c>
      <c r="D211" s="249">
        <f>'Appendix J-2'!AR1</f>
        <v>0</v>
      </c>
      <c r="E211" s="22">
        <f t="shared" si="84"/>
        <v>0</v>
      </c>
      <c r="F211" s="247">
        <f>'Appendix J-2'!AT19</f>
        <v>0</v>
      </c>
      <c r="G211" s="24" t="e">
        <f t="shared" si="85"/>
        <v>#DIV/0!</v>
      </c>
      <c r="H211" s="248">
        <f>'Appendix J-2'!AV1</f>
        <v>0</v>
      </c>
      <c r="I211" s="688"/>
      <c r="J211" s="205"/>
    </row>
    <row r="212" spans="1:35" x14ac:dyDescent="0.25">
      <c r="A212" s="21">
        <f>A$14</f>
        <v>1752</v>
      </c>
      <c r="B212" s="149">
        <f t="shared" si="86"/>
        <v>7.4755606670500289E-3</v>
      </c>
      <c r="C212" s="20">
        <f t="shared" si="87"/>
        <v>10</v>
      </c>
      <c r="D212" s="26">
        <f>ROUND(((D230+D248+D266)*0.1),0)</f>
        <v>1</v>
      </c>
      <c r="E212" s="23">
        <v>1</v>
      </c>
      <c r="F212" s="22">
        <f>D212*E212</f>
        <v>1</v>
      </c>
      <c r="G212" s="382">
        <f>'DDS Rates for Amend'!DH17</f>
        <v>120</v>
      </c>
      <c r="H212" s="33">
        <f>F212*G212</f>
        <v>120</v>
      </c>
      <c r="I212" s="688"/>
      <c r="J212" s="205"/>
    </row>
    <row r="213" spans="1:35" x14ac:dyDescent="0.25">
      <c r="A213" s="21">
        <f>A$15</f>
        <v>1822</v>
      </c>
      <c r="B213" s="149">
        <f t="shared" si="86"/>
        <v>3.9954337899543377E-2</v>
      </c>
      <c r="C213" s="20">
        <f t="shared" si="87"/>
        <v>11</v>
      </c>
      <c r="D213" s="26">
        <f t="shared" ref="D213:D217" si="88">ROUND(((D231+D249+D267)*0.1),0)</f>
        <v>1</v>
      </c>
      <c r="E213" s="23">
        <v>1</v>
      </c>
      <c r="F213" s="22">
        <f t="shared" ref="F213:F217" si="89">D213*E213</f>
        <v>1</v>
      </c>
      <c r="G213" s="382">
        <f>'DDS Rates for Amend'!DH18</f>
        <v>123.12</v>
      </c>
      <c r="H213" s="33">
        <f t="shared" ref="H213:H217" si="90">F213*G213</f>
        <v>123.12</v>
      </c>
      <c r="I213" s="688"/>
      <c r="J213" s="205"/>
    </row>
    <row r="214" spans="1:35" x14ac:dyDescent="0.25">
      <c r="A214" s="21">
        <f>A$16</f>
        <v>1872</v>
      </c>
      <c r="B214" s="149">
        <f t="shared" si="86"/>
        <v>2.7442371020856202E-2</v>
      </c>
      <c r="C214" s="20">
        <f t="shared" si="87"/>
        <v>12</v>
      </c>
      <c r="D214" s="26">
        <f t="shared" si="88"/>
        <v>2</v>
      </c>
      <c r="E214" s="23">
        <v>1</v>
      </c>
      <c r="F214" s="22">
        <f t="shared" si="89"/>
        <v>2</v>
      </c>
      <c r="G214" s="382">
        <f>'DDS Rates for Amend'!DH19</f>
        <v>126.32112000000001</v>
      </c>
      <c r="H214" s="33">
        <f t="shared" si="90"/>
        <v>252.64224000000002</v>
      </c>
      <c r="I214" s="688"/>
      <c r="J214" s="205"/>
    </row>
    <row r="215" spans="1:35" x14ac:dyDescent="0.25">
      <c r="A215" s="21">
        <f>A$17</f>
        <v>1902</v>
      </c>
      <c r="B215" s="149">
        <f t="shared" si="86"/>
        <v>1.6025641025641024E-2</v>
      </c>
      <c r="C215" s="20">
        <f t="shared" si="87"/>
        <v>13</v>
      </c>
      <c r="D215" s="26">
        <f t="shared" si="88"/>
        <v>3</v>
      </c>
      <c r="E215" s="23">
        <v>1</v>
      </c>
      <c r="F215" s="22">
        <f t="shared" si="89"/>
        <v>3</v>
      </c>
      <c r="G215" s="382">
        <f>'DDS Rates for Amend'!DH20</f>
        <v>129.60546912000001</v>
      </c>
      <c r="H215" s="33">
        <f t="shared" si="90"/>
        <v>388.81640736000003</v>
      </c>
      <c r="I215" s="688"/>
      <c r="J215" s="205"/>
    </row>
    <row r="216" spans="1:35" x14ac:dyDescent="0.25">
      <c r="A216" s="21">
        <f>A$18</f>
        <v>1932</v>
      </c>
      <c r="B216" s="149">
        <f t="shared" si="86"/>
        <v>1.5772870662460567E-2</v>
      </c>
      <c r="C216" s="20">
        <f t="shared" si="87"/>
        <v>14</v>
      </c>
      <c r="D216" s="26">
        <f t="shared" si="88"/>
        <v>4</v>
      </c>
      <c r="E216" s="23">
        <v>1</v>
      </c>
      <c r="F216" s="22">
        <f t="shared" si="89"/>
        <v>4</v>
      </c>
      <c r="G216" s="382">
        <f>'DDS Rates for Amend'!DH21</f>
        <v>132.97521131712</v>
      </c>
      <c r="H216" s="33">
        <f t="shared" si="90"/>
        <v>531.90084526848</v>
      </c>
      <c r="I216" s="688"/>
      <c r="J216" s="205"/>
    </row>
    <row r="217" spans="1:35" x14ac:dyDescent="0.25">
      <c r="A217" s="21">
        <f>A$19</f>
        <v>1962</v>
      </c>
      <c r="B217" s="149">
        <f t="shared" si="86"/>
        <v>1.5527950310559006E-2</v>
      </c>
      <c r="C217" s="20">
        <f t="shared" si="87"/>
        <v>15</v>
      </c>
      <c r="D217" s="26">
        <f t="shared" si="88"/>
        <v>5</v>
      </c>
      <c r="E217" s="23">
        <v>1</v>
      </c>
      <c r="F217" s="22">
        <f t="shared" si="89"/>
        <v>5</v>
      </c>
      <c r="G217" s="382">
        <f>'DDS Rates for Amend'!DH22</f>
        <v>136.43256681136512</v>
      </c>
      <c r="H217" s="33">
        <f t="shared" si="90"/>
        <v>682.16283405682566</v>
      </c>
      <c r="I217" s="689"/>
      <c r="J217" s="205"/>
      <c r="K217" s="285">
        <f>SUM(H203:H217)</f>
        <v>2098.6423266853058</v>
      </c>
      <c r="L217" s="17" t="e">
        <f>IF(K217='Appendix J-2'!CD1,0,error)</f>
        <v>#NAME?</v>
      </c>
    </row>
    <row r="218" spans="1:35" customFormat="1" x14ac:dyDescent="0.25">
      <c r="D218" s="90"/>
      <c r="E218" s="88"/>
      <c r="F218" s="31"/>
      <c r="G218" s="31"/>
      <c r="H218" s="31"/>
      <c r="I218" s="568"/>
      <c r="K218" s="31"/>
      <c r="N218" s="532" t="s">
        <v>1036</v>
      </c>
      <c r="O218" s="446"/>
      <c r="P218" s="446"/>
      <c r="Q218" s="446"/>
      <c r="R218" s="446"/>
      <c r="S218" s="446"/>
      <c r="T218" s="446"/>
      <c r="U218" s="31"/>
      <c r="V218" s="31"/>
      <c r="W218" s="31"/>
      <c r="X218" s="31"/>
      <c r="Y218" s="31"/>
      <c r="Z218" s="31"/>
      <c r="AA218" s="31"/>
      <c r="AB218" s="31"/>
      <c r="AC218" s="31"/>
      <c r="AD218" s="31"/>
      <c r="AE218" s="31"/>
      <c r="AF218" s="31"/>
      <c r="AG218" s="31"/>
      <c r="AH218" s="31"/>
      <c r="AI218" s="31"/>
    </row>
    <row r="219" spans="1:35" x14ac:dyDescent="0.25">
      <c r="A219" s="272" t="s">
        <v>215</v>
      </c>
      <c r="B219" s="272"/>
      <c r="C219" s="272"/>
      <c r="D219" s="292" t="str">
        <f>'Appendix J-2'!B20</f>
        <v>Visit</v>
      </c>
      <c r="E219" s="404" t="str">
        <f>'Appendix J-2'!C20</f>
        <v>15 minutes</v>
      </c>
      <c r="F219" s="690"/>
      <c r="G219" s="690"/>
      <c r="H219" s="690"/>
      <c r="I219" s="687" t="s">
        <v>1144</v>
      </c>
      <c r="J219" s="205"/>
      <c r="N219" s="446" t="s">
        <v>616</v>
      </c>
      <c r="O219" s="533">
        <f>65</f>
        <v>65</v>
      </c>
      <c r="P219" s="446"/>
      <c r="Q219" s="446" t="s">
        <v>636</v>
      </c>
      <c r="R219" s="533">
        <v>65</v>
      </c>
      <c r="S219" s="446"/>
      <c r="T219" s="446"/>
    </row>
    <row r="220" spans="1:35" x14ac:dyDescent="0.25">
      <c r="A220" s="147" t="s">
        <v>26</v>
      </c>
      <c r="B220" s="147" t="s">
        <v>27</v>
      </c>
      <c r="C220" s="50" t="s">
        <v>166</v>
      </c>
      <c r="D220" s="91" t="s">
        <v>154</v>
      </c>
      <c r="E220" s="89" t="s">
        <v>155</v>
      </c>
      <c r="F220" s="34" t="s">
        <v>158</v>
      </c>
      <c r="G220" s="35" t="s">
        <v>156</v>
      </c>
      <c r="H220" s="51" t="s">
        <v>157</v>
      </c>
      <c r="I220" s="688"/>
      <c r="J220" s="205"/>
      <c r="N220" s="446" t="s">
        <v>617</v>
      </c>
      <c r="O220" s="533">
        <f>R222</f>
        <v>83.333333333333329</v>
      </c>
      <c r="P220" s="446"/>
      <c r="Q220" s="446" t="s">
        <v>637</v>
      </c>
      <c r="R220" s="533">
        <v>65</v>
      </c>
      <c r="S220" s="446"/>
      <c r="T220" s="446"/>
    </row>
    <row r="221" spans="1:35" x14ac:dyDescent="0.25">
      <c r="A221" s="21">
        <f>A$5</f>
        <v>1182</v>
      </c>
      <c r="B221" s="148"/>
      <c r="C221" s="144">
        <v>1</v>
      </c>
      <c r="D221" s="247">
        <f>'Appendix J-2'!D20</f>
        <v>13</v>
      </c>
      <c r="E221" s="22">
        <f>IF(F221=0,0,F221/D221)</f>
        <v>64.15384615384616</v>
      </c>
      <c r="F221" s="247">
        <f>'Appendix J-2'!F20</f>
        <v>834</v>
      </c>
      <c r="G221" s="24">
        <f>H221/F221</f>
        <v>65</v>
      </c>
      <c r="H221" s="250">
        <f>'Appendix J-2'!H20</f>
        <v>54210</v>
      </c>
      <c r="I221" s="688"/>
      <c r="J221" s="205"/>
      <c r="N221" s="446" t="s">
        <v>618</v>
      </c>
      <c r="O221" s="533">
        <f t="shared" ref="O221:O222" si="91">15*8</f>
        <v>120</v>
      </c>
      <c r="P221" s="446"/>
      <c r="Q221" s="446" t="s">
        <v>638</v>
      </c>
      <c r="R221" s="533">
        <v>120</v>
      </c>
      <c r="S221" s="446"/>
      <c r="T221" s="446"/>
    </row>
    <row r="222" spans="1:35" x14ac:dyDescent="0.25">
      <c r="A222" s="21">
        <f>A$6</f>
        <v>1288</v>
      </c>
      <c r="B222" s="149">
        <f>(A222-A221)/A221</f>
        <v>8.9678510998307953E-2</v>
      </c>
      <c r="C222" s="52">
        <v>2</v>
      </c>
      <c r="D222" s="247">
        <f>'Appendix J-2'!I20</f>
        <v>6</v>
      </c>
      <c r="E222" s="22">
        <f t="shared" ref="E222:E229" si="92">IF(F222=0,0,F222/D222)</f>
        <v>5.5</v>
      </c>
      <c r="F222" s="247">
        <f>'Appendix J-2'!K20</f>
        <v>33</v>
      </c>
      <c r="G222" s="24">
        <f t="shared" ref="G222:G229" si="93">H222/F222</f>
        <v>63.522727272727273</v>
      </c>
      <c r="H222" s="250">
        <f>'Appendix J-2'!M20</f>
        <v>2096.25</v>
      </c>
      <c r="I222" s="688"/>
      <c r="J222" s="205"/>
      <c r="N222" s="446" t="s">
        <v>619</v>
      </c>
      <c r="O222" s="533">
        <f t="shared" si="91"/>
        <v>120</v>
      </c>
      <c r="P222" s="446"/>
      <c r="Q222" s="446"/>
      <c r="R222" s="533">
        <f>AVERAGE(R219:R221)</f>
        <v>83.333333333333329</v>
      </c>
      <c r="S222" s="534" t="s">
        <v>639</v>
      </c>
      <c r="T222" s="446"/>
    </row>
    <row r="223" spans="1:35" x14ac:dyDescent="0.25">
      <c r="A223" s="21">
        <f>A$7</f>
        <v>1495</v>
      </c>
      <c r="B223" s="149">
        <f t="shared" ref="B223:B235" si="94">(A223-A222)/A222</f>
        <v>0.16071428571428573</v>
      </c>
      <c r="C223" s="52">
        <v>3</v>
      </c>
      <c r="D223" s="247">
        <f>'Appendix J-2'!N20</f>
        <v>32</v>
      </c>
      <c r="E223" s="22">
        <f t="shared" si="92"/>
        <v>11.34375</v>
      </c>
      <c r="F223" s="247">
        <f>'Appendix J-2'!P20</f>
        <v>363</v>
      </c>
      <c r="G223" s="24">
        <f t="shared" si="93"/>
        <v>65</v>
      </c>
      <c r="H223" s="248">
        <f>'Appendix J-2'!R20</f>
        <v>23595</v>
      </c>
      <c r="I223" s="688"/>
      <c r="J223" s="205"/>
      <c r="N223" s="446"/>
      <c r="O223" s="535">
        <f>AVERAGE(O219:O222)</f>
        <v>97.083333333333329</v>
      </c>
      <c r="P223" s="532" t="s">
        <v>615</v>
      </c>
      <c r="Q223" s="446"/>
      <c r="R223" s="446"/>
      <c r="S223" s="446"/>
      <c r="T223" s="446"/>
    </row>
    <row r="224" spans="1:35" x14ac:dyDescent="0.25">
      <c r="A224" s="21">
        <f>A$8</f>
        <v>1484</v>
      </c>
      <c r="B224" s="149">
        <f t="shared" si="94"/>
        <v>-7.3578595317725752E-3</v>
      </c>
      <c r="C224" s="52">
        <f>C223+1</f>
        <v>4</v>
      </c>
      <c r="D224" s="247">
        <f>'Appendix J-2'!S20</f>
        <v>12</v>
      </c>
      <c r="E224" s="22">
        <f t="shared" si="92"/>
        <v>16</v>
      </c>
      <c r="F224" s="247">
        <f>'Appendix J-2'!U20</f>
        <v>192</v>
      </c>
      <c r="G224" s="24">
        <f t="shared" si="93"/>
        <v>65</v>
      </c>
      <c r="H224" s="248">
        <f>'Appendix J-2'!W20</f>
        <v>12480</v>
      </c>
      <c r="I224" s="688"/>
      <c r="J224" s="205"/>
      <c r="N224" s="536" t="s">
        <v>620</v>
      </c>
      <c r="O224" s="446"/>
      <c r="P224" s="446"/>
      <c r="Q224" s="446"/>
      <c r="R224" s="446"/>
      <c r="S224" s="446"/>
      <c r="T224" s="446"/>
    </row>
    <row r="225" spans="1:35" x14ac:dyDescent="0.25">
      <c r="A225" s="21">
        <f>A$9</f>
        <v>1528</v>
      </c>
      <c r="B225" s="149">
        <f t="shared" si="94"/>
        <v>2.9649595687331536E-2</v>
      </c>
      <c r="C225" s="52">
        <f t="shared" ref="C225:C235" si="95">C224+1</f>
        <v>5</v>
      </c>
      <c r="D225" s="247">
        <f>'Appendix J-2'!X20</f>
        <v>0</v>
      </c>
      <c r="E225" s="22">
        <f t="shared" si="92"/>
        <v>0</v>
      </c>
      <c r="F225" s="247">
        <f>'Appendix J-2'!Z20</f>
        <v>0</v>
      </c>
      <c r="G225" s="24" t="e">
        <f t="shared" si="93"/>
        <v>#DIV/0!</v>
      </c>
      <c r="H225" s="248">
        <f>'Appendix J-2'!AB20</f>
        <v>0</v>
      </c>
      <c r="I225" s="688"/>
      <c r="J225" s="205"/>
    </row>
    <row r="226" spans="1:35" x14ac:dyDescent="0.25">
      <c r="A226" s="21">
        <f>A$10</f>
        <v>1592</v>
      </c>
      <c r="B226" s="149">
        <f t="shared" si="94"/>
        <v>4.1884816753926704E-2</v>
      </c>
      <c r="C226" s="20">
        <f t="shared" si="95"/>
        <v>6</v>
      </c>
      <c r="D226" s="249">
        <f>'Appendix J-2'!AC20</f>
        <v>0</v>
      </c>
      <c r="E226" s="22">
        <f t="shared" si="92"/>
        <v>0</v>
      </c>
      <c r="F226" s="247">
        <f>'Appendix J-2'!AE20</f>
        <v>0</v>
      </c>
      <c r="G226" s="24" t="e">
        <f t="shared" si="93"/>
        <v>#DIV/0!</v>
      </c>
      <c r="H226" s="248">
        <f>'Appendix J-2'!AG20</f>
        <v>0</v>
      </c>
      <c r="I226" s="688"/>
      <c r="J226" s="205"/>
    </row>
    <row r="227" spans="1:35" x14ac:dyDescent="0.25">
      <c r="A227" s="21">
        <f>A$11</f>
        <v>1642</v>
      </c>
      <c r="B227" s="149">
        <f t="shared" si="94"/>
        <v>3.1407035175879394E-2</v>
      </c>
      <c r="C227" s="20">
        <f t="shared" si="95"/>
        <v>7</v>
      </c>
      <c r="D227" s="249">
        <f>'Appendix J-2'!AH20</f>
        <v>0</v>
      </c>
      <c r="E227" s="22">
        <f t="shared" si="92"/>
        <v>0</v>
      </c>
      <c r="F227" s="247">
        <f>'Appendix J-2'!AJ18</f>
        <v>0</v>
      </c>
      <c r="G227" s="24" t="e">
        <f t="shared" si="93"/>
        <v>#DIV/0!</v>
      </c>
      <c r="H227" s="248">
        <f>'Appendix J-2'!AL20</f>
        <v>0</v>
      </c>
      <c r="I227" s="688"/>
      <c r="J227" s="205"/>
    </row>
    <row r="228" spans="1:35" x14ac:dyDescent="0.25">
      <c r="A228" s="21">
        <f>A$12</f>
        <v>1675</v>
      </c>
      <c r="B228" s="149">
        <f t="shared" si="94"/>
        <v>2.0097442143727162E-2</v>
      </c>
      <c r="C228" s="20">
        <f t="shared" si="95"/>
        <v>8</v>
      </c>
      <c r="D228" s="249">
        <f>'Appendix J-2'!AM18</f>
        <v>0</v>
      </c>
      <c r="E228" s="22">
        <f t="shared" si="92"/>
        <v>0</v>
      </c>
      <c r="F228" s="247">
        <f>'Appendix J-2'!AO20</f>
        <v>0</v>
      </c>
      <c r="G228" s="24" t="e">
        <f t="shared" si="93"/>
        <v>#DIV/0!</v>
      </c>
      <c r="H228" s="248">
        <f>'Appendix J-2'!AQ20</f>
        <v>0</v>
      </c>
      <c r="I228" s="688"/>
      <c r="J228" s="205"/>
    </row>
    <row r="229" spans="1:35" x14ac:dyDescent="0.25">
      <c r="A229" s="21">
        <f>A$13</f>
        <v>1739</v>
      </c>
      <c r="B229" s="149">
        <f t="shared" si="94"/>
        <v>3.8208955223880597E-2</v>
      </c>
      <c r="C229" s="20">
        <f t="shared" si="95"/>
        <v>9</v>
      </c>
      <c r="D229" s="249">
        <f>'Appendix J-2'!AR20</f>
        <v>0</v>
      </c>
      <c r="E229" s="22">
        <f t="shared" si="92"/>
        <v>0</v>
      </c>
      <c r="F229" s="247">
        <f>'Appendix J-2'!AT18</f>
        <v>0</v>
      </c>
      <c r="G229" s="24" t="e">
        <f t="shared" si="93"/>
        <v>#DIV/0!</v>
      </c>
      <c r="H229" s="248">
        <f>'Appendix J-2'!AV20</f>
        <v>0</v>
      </c>
      <c r="I229" s="688"/>
      <c r="J229" s="205"/>
    </row>
    <row r="230" spans="1:35" x14ac:dyDescent="0.25">
      <c r="A230" s="21">
        <f>A$14</f>
        <v>1752</v>
      </c>
      <c r="B230" s="149">
        <f t="shared" si="94"/>
        <v>7.4755606670500289E-3</v>
      </c>
      <c r="C230" s="20">
        <f t="shared" si="95"/>
        <v>10</v>
      </c>
      <c r="D230" s="21">
        <f>ROUND(IF(TREND($D$221:$D$229,$A$221:$A$229,A230)&gt;0,TREND($D$221:$D$229,$A$221:$A$229,A230),0),0)</f>
        <v>1</v>
      </c>
      <c r="E230" s="22">
        <f>IF(TREND($E$222:$E$224,$A$222:$A$224,A230)&gt;0,TREND($E$222:$E$224,$A$222:$A$224,A230),0)</f>
        <v>23.976597633499615</v>
      </c>
      <c r="F230" s="22">
        <f>D230*E230</f>
        <v>23.976597633499615</v>
      </c>
      <c r="G230" s="24">
        <f>'DDS Rates for Amend'!O17</f>
        <v>16.25</v>
      </c>
      <c r="H230" s="33">
        <f>F230*G230</f>
        <v>389.61971154436873</v>
      </c>
      <c r="I230" s="688"/>
      <c r="J230" s="205"/>
    </row>
    <row r="231" spans="1:35" x14ac:dyDescent="0.25">
      <c r="A231" s="21">
        <f>A$15</f>
        <v>1822</v>
      </c>
      <c r="B231" s="149">
        <f t="shared" si="94"/>
        <v>3.9954337899543377E-2</v>
      </c>
      <c r="C231" s="20">
        <f t="shared" si="95"/>
        <v>11</v>
      </c>
      <c r="D231" s="21">
        <v>1</v>
      </c>
      <c r="E231" s="22">
        <f t="shared" ref="E231:E235" si="96">IF(TREND($E$222:$E$224,$A$222:$A$224,A231)&gt;0,TREND($E$222:$E$224,$A$222:$A$224,A231),0)</f>
        <v>26.743051630501562</v>
      </c>
      <c r="F231" s="22">
        <f t="shared" ref="F231:F235" si="97">D231*E231</f>
        <v>26.743051630501562</v>
      </c>
      <c r="G231" s="24">
        <f>'DDS Rates for Amend'!O18</f>
        <v>16.672499999999999</v>
      </c>
      <c r="H231" s="33">
        <f t="shared" ref="H231:H235" si="98">F231*G231</f>
        <v>445.87352830953728</v>
      </c>
      <c r="I231" s="688"/>
      <c r="J231" s="205"/>
    </row>
    <row r="232" spans="1:35" x14ac:dyDescent="0.25">
      <c r="A232" s="21">
        <f>A$16</f>
        <v>1872</v>
      </c>
      <c r="B232" s="149">
        <f t="shared" si="94"/>
        <v>2.7442371020856202E-2</v>
      </c>
      <c r="C232" s="20">
        <f t="shared" si="95"/>
        <v>12</v>
      </c>
      <c r="D232" s="21">
        <v>3</v>
      </c>
      <c r="E232" s="22">
        <f t="shared" si="96"/>
        <v>28.71909019978866</v>
      </c>
      <c r="F232" s="22">
        <f t="shared" si="97"/>
        <v>86.157270599365972</v>
      </c>
      <c r="G232" s="24">
        <f>'DDS Rates for Amend'!O19</f>
        <v>17.105985</v>
      </c>
      <c r="H232" s="33">
        <f t="shared" si="98"/>
        <v>1473.8049785136955</v>
      </c>
      <c r="I232" s="688"/>
      <c r="J232" s="205"/>
    </row>
    <row r="233" spans="1:35" x14ac:dyDescent="0.25">
      <c r="A233" s="21">
        <f>A$17</f>
        <v>1902</v>
      </c>
      <c r="B233" s="149">
        <f t="shared" si="94"/>
        <v>1.6025641025641024E-2</v>
      </c>
      <c r="C233" s="20">
        <f t="shared" si="95"/>
        <v>13</v>
      </c>
      <c r="D233" s="21">
        <v>4</v>
      </c>
      <c r="E233" s="22">
        <f t="shared" si="96"/>
        <v>29.90471334136091</v>
      </c>
      <c r="F233" s="22">
        <f t="shared" si="97"/>
        <v>119.61885336544364</v>
      </c>
      <c r="G233" s="24">
        <f>'DDS Rates for Amend'!O20</f>
        <v>17.550740610000002</v>
      </c>
      <c r="H233" s="33">
        <f t="shared" si="98"/>
        <v>2099.3994674825271</v>
      </c>
      <c r="I233" s="688"/>
      <c r="J233" s="205"/>
    </row>
    <row r="234" spans="1:35" x14ac:dyDescent="0.25">
      <c r="A234" s="21">
        <f>A$18</f>
        <v>1932</v>
      </c>
      <c r="B234" s="149">
        <f t="shared" si="94"/>
        <v>1.5772870662460567E-2</v>
      </c>
      <c r="C234" s="20">
        <f t="shared" si="95"/>
        <v>14</v>
      </c>
      <c r="D234" s="21">
        <v>6</v>
      </c>
      <c r="E234" s="22">
        <f t="shared" si="96"/>
        <v>31.090336482933175</v>
      </c>
      <c r="F234" s="22">
        <f t="shared" si="97"/>
        <v>186.54201889759906</v>
      </c>
      <c r="G234" s="24">
        <f>'DDS Rates for Amend'!O21</f>
        <v>18.007059865860001</v>
      </c>
      <c r="H234" s="33">
        <f t="shared" si="98"/>
        <v>3359.0733017874541</v>
      </c>
      <c r="I234" s="688"/>
      <c r="J234" s="205"/>
    </row>
    <row r="235" spans="1:35" x14ac:dyDescent="0.25">
      <c r="A235" s="21">
        <f>A$19</f>
        <v>1962</v>
      </c>
      <c r="B235" s="149">
        <f t="shared" si="94"/>
        <v>1.5527950310559006E-2</v>
      </c>
      <c r="C235" s="20">
        <f t="shared" si="95"/>
        <v>15</v>
      </c>
      <c r="D235" s="21">
        <v>6</v>
      </c>
      <c r="E235" s="22">
        <f t="shared" si="96"/>
        <v>32.27595962450544</v>
      </c>
      <c r="F235" s="22">
        <f t="shared" si="97"/>
        <v>193.65575774703262</v>
      </c>
      <c r="G235" s="24">
        <f>'DDS Rates for Amend'!O22</f>
        <v>18.475243422372362</v>
      </c>
      <c r="H235" s="33">
        <f t="shared" si="98"/>
        <v>3577.8372645203999</v>
      </c>
      <c r="I235" s="689"/>
      <c r="J235" s="205"/>
      <c r="K235" s="285">
        <f>SUM(H221:H235)</f>
        <v>103726.85825215798</v>
      </c>
      <c r="L235" s="17">
        <f>IF(K235='Appendix J-2'!CD20,0,error)</f>
        <v>0</v>
      </c>
    </row>
    <row r="236" spans="1:35" customFormat="1" x14ac:dyDescent="0.25">
      <c r="D236" s="90"/>
      <c r="E236" s="88"/>
      <c r="F236" s="31"/>
      <c r="G236" s="31"/>
      <c r="H236" s="31"/>
      <c r="I236" s="568"/>
      <c r="K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row>
    <row r="237" spans="1:35" x14ac:dyDescent="0.25">
      <c r="A237" s="272" t="s">
        <v>216</v>
      </c>
      <c r="B237" s="272"/>
      <c r="C237" s="272"/>
      <c r="D237" s="292" t="str">
        <f>'Appendix J-2'!B21</f>
        <v>Visit</v>
      </c>
      <c r="E237" s="223" t="str">
        <f>'Appendix J-2'!C21</f>
        <v>15 minutes</v>
      </c>
      <c r="F237" s="690"/>
      <c r="G237" s="690"/>
      <c r="H237" s="690"/>
      <c r="I237" s="687" t="s">
        <v>1143</v>
      </c>
      <c r="J237" s="205"/>
    </row>
    <row r="238" spans="1:35" x14ac:dyDescent="0.25">
      <c r="A238" s="147" t="s">
        <v>26</v>
      </c>
      <c r="B238" s="147" t="s">
        <v>27</v>
      </c>
      <c r="C238" s="50" t="s">
        <v>166</v>
      </c>
      <c r="D238" s="91" t="s">
        <v>154</v>
      </c>
      <c r="E238" s="89" t="s">
        <v>155</v>
      </c>
      <c r="F238" s="34" t="s">
        <v>158</v>
      </c>
      <c r="G238" s="35" t="s">
        <v>156</v>
      </c>
      <c r="H238" s="51" t="s">
        <v>157</v>
      </c>
      <c r="I238" s="688"/>
      <c r="J238" s="205"/>
    </row>
    <row r="239" spans="1:35" x14ac:dyDescent="0.25">
      <c r="A239" s="21">
        <f>A$5</f>
        <v>1182</v>
      </c>
      <c r="B239" s="148"/>
      <c r="C239" s="144">
        <v>1</v>
      </c>
      <c r="D239" s="247">
        <f>'Appendix J-2'!D21</f>
        <v>0</v>
      </c>
      <c r="E239" s="22">
        <f>IF(F239=0,0,F239/D239)</f>
        <v>0</v>
      </c>
      <c r="F239" s="247">
        <f>'Appendix J-2'!F21</f>
        <v>0</v>
      </c>
      <c r="G239" s="24" t="e">
        <f t="shared" ref="G239:G247" si="99">H239/F239</f>
        <v>#DIV/0!</v>
      </c>
      <c r="H239" s="250">
        <f>'Appendix J-2'!H21</f>
        <v>0</v>
      </c>
      <c r="I239" s="688"/>
      <c r="J239" s="205"/>
    </row>
    <row r="240" spans="1:35" x14ac:dyDescent="0.25">
      <c r="A240" s="21">
        <f>A$6</f>
        <v>1288</v>
      </c>
      <c r="B240" s="149">
        <f>(A240-A239)/A239</f>
        <v>8.9678510998307953E-2</v>
      </c>
      <c r="C240" s="52">
        <v>2</v>
      </c>
      <c r="D240" s="247">
        <f>'Appendix J-2'!I21</f>
        <v>0</v>
      </c>
      <c r="E240" s="22">
        <f>IF(F240=0,0,F240/D240)</f>
        <v>0</v>
      </c>
      <c r="F240" s="247">
        <f>'Appendix J-2'!K21</f>
        <v>0</v>
      </c>
      <c r="G240" s="24" t="e">
        <f t="shared" si="99"/>
        <v>#DIV/0!</v>
      </c>
      <c r="H240" s="250">
        <f>'Appendix J-2'!M21</f>
        <v>0</v>
      </c>
      <c r="I240" s="688"/>
      <c r="J240" s="205"/>
    </row>
    <row r="241" spans="1:35" x14ac:dyDescent="0.25">
      <c r="A241" s="21">
        <f>A$7</f>
        <v>1495</v>
      </c>
      <c r="B241" s="149">
        <f t="shared" ref="B241:B253" si="100">(A241-A240)/A240</f>
        <v>0.16071428571428573</v>
      </c>
      <c r="C241" s="52">
        <v>3</v>
      </c>
      <c r="D241" s="247">
        <f>'Appendix J-2'!N21</f>
        <v>3</v>
      </c>
      <c r="E241" s="22">
        <f t="shared" ref="E241:E247" si="101">IF(F241=0,0,F241/D241)</f>
        <v>4965.333333333333</v>
      </c>
      <c r="F241" s="247">
        <f>'Appendix J-2'!P21</f>
        <v>14896</v>
      </c>
      <c r="G241" s="24">
        <f t="shared" si="99"/>
        <v>7</v>
      </c>
      <c r="H241" s="248">
        <f>'Appendix J-2'!R21</f>
        <v>104272</v>
      </c>
      <c r="I241" s="688"/>
      <c r="J241" s="205"/>
    </row>
    <row r="242" spans="1:35" x14ac:dyDescent="0.25">
      <c r="A242" s="21">
        <f>A$8</f>
        <v>1484</v>
      </c>
      <c r="B242" s="149">
        <f t="shared" si="100"/>
        <v>-7.3578595317725752E-3</v>
      </c>
      <c r="C242" s="52">
        <v>4</v>
      </c>
      <c r="D242" s="247">
        <f>'Appendix J-2'!S21</f>
        <v>3</v>
      </c>
      <c r="E242" s="22">
        <f t="shared" si="101"/>
        <v>2085.3333333333335</v>
      </c>
      <c r="F242" s="247">
        <f>'Appendix J-2'!U21</f>
        <v>6256</v>
      </c>
      <c r="G242" s="24">
        <f t="shared" si="99"/>
        <v>7</v>
      </c>
      <c r="H242" s="248">
        <f>'Appendix J-2'!W21</f>
        <v>43792</v>
      </c>
      <c r="I242" s="688"/>
      <c r="J242" s="205"/>
    </row>
    <row r="243" spans="1:35" x14ac:dyDescent="0.25">
      <c r="A243" s="21">
        <f>A$9</f>
        <v>1528</v>
      </c>
      <c r="B243" s="149">
        <f t="shared" si="100"/>
        <v>2.9649595687331536E-2</v>
      </c>
      <c r="C243" s="52">
        <v>5</v>
      </c>
      <c r="D243" s="247">
        <f>'Appendix J-2'!X21</f>
        <v>0</v>
      </c>
      <c r="E243" s="22">
        <f t="shared" si="101"/>
        <v>0</v>
      </c>
      <c r="F243" s="247">
        <f>'Appendix J-2'!Z21</f>
        <v>0</v>
      </c>
      <c r="G243" s="24" t="e">
        <f t="shared" si="99"/>
        <v>#DIV/0!</v>
      </c>
      <c r="H243" s="248">
        <f>'Appendix J-2'!AB21</f>
        <v>0</v>
      </c>
      <c r="I243" s="688"/>
      <c r="J243" s="205"/>
    </row>
    <row r="244" spans="1:35" x14ac:dyDescent="0.25">
      <c r="A244" s="21">
        <f>A$10</f>
        <v>1592</v>
      </c>
      <c r="B244" s="149">
        <f t="shared" si="100"/>
        <v>4.1884816753926704E-2</v>
      </c>
      <c r="C244" s="20">
        <v>6</v>
      </c>
      <c r="D244" s="249">
        <f>'Appendix J-2'!AC21</f>
        <v>0</v>
      </c>
      <c r="E244" s="22">
        <f t="shared" si="101"/>
        <v>0</v>
      </c>
      <c r="F244" s="249">
        <f>'Appendix J-2'!AE21</f>
        <v>0</v>
      </c>
      <c r="G244" s="24" t="e">
        <f t="shared" si="99"/>
        <v>#DIV/0!</v>
      </c>
      <c r="H244" s="248">
        <f>'Appendix J-2'!AG21</f>
        <v>0</v>
      </c>
      <c r="I244" s="688"/>
      <c r="J244" s="205"/>
      <c r="N244" s="31" t="s">
        <v>535</v>
      </c>
    </row>
    <row r="245" spans="1:35" x14ac:dyDescent="0.25">
      <c r="A245" s="21">
        <f>A$11</f>
        <v>1642</v>
      </c>
      <c r="B245" s="149">
        <f t="shared" si="100"/>
        <v>3.1407035175879394E-2</v>
      </c>
      <c r="C245" s="20">
        <v>7</v>
      </c>
      <c r="D245" s="249">
        <f>'Appendix J-2'!AH21</f>
        <v>0</v>
      </c>
      <c r="E245" s="22">
        <f t="shared" si="101"/>
        <v>0</v>
      </c>
      <c r="F245" s="249">
        <f>'Appendix J-2'!AJ21</f>
        <v>0</v>
      </c>
      <c r="G245" s="24" t="e">
        <f t="shared" si="99"/>
        <v>#DIV/0!</v>
      </c>
      <c r="H245" s="248">
        <f>'Appendix J-2'!AL21</f>
        <v>0</v>
      </c>
      <c r="I245" s="688"/>
      <c r="J245" s="205"/>
      <c r="N245" s="407" t="s">
        <v>549</v>
      </c>
    </row>
    <row r="246" spans="1:35" x14ac:dyDescent="0.25">
      <c r="A246" s="21">
        <f>A$12</f>
        <v>1675</v>
      </c>
      <c r="B246" s="149">
        <f t="shared" si="100"/>
        <v>2.0097442143727162E-2</v>
      </c>
      <c r="C246" s="20">
        <v>8</v>
      </c>
      <c r="D246" s="249">
        <f>'Appendix J-2'!AM21</f>
        <v>0</v>
      </c>
      <c r="E246" s="22">
        <f t="shared" si="101"/>
        <v>0</v>
      </c>
      <c r="F246" s="249">
        <f>'Appendix J-2'!AM21</f>
        <v>0</v>
      </c>
      <c r="G246" s="24" t="e">
        <f t="shared" si="99"/>
        <v>#DIV/0!</v>
      </c>
      <c r="H246" s="248">
        <f>'Appendix J-2'!AQ21</f>
        <v>0</v>
      </c>
      <c r="I246" s="688"/>
      <c r="J246" s="205"/>
      <c r="N246" s="31" t="s">
        <v>536</v>
      </c>
      <c r="O246" s="31">
        <v>4156</v>
      </c>
      <c r="P246" s="31">
        <v>1</v>
      </c>
    </row>
    <row r="247" spans="1:35" x14ac:dyDescent="0.25">
      <c r="A247" s="21">
        <f>A$13</f>
        <v>1739</v>
      </c>
      <c r="B247" s="149">
        <f t="shared" si="100"/>
        <v>3.8208955223880597E-2</v>
      </c>
      <c r="C247" s="20">
        <v>9</v>
      </c>
      <c r="D247" s="249">
        <f>'Appendix J-2'!AR21</f>
        <v>3</v>
      </c>
      <c r="E247" s="22">
        <f t="shared" si="101"/>
        <v>3524</v>
      </c>
      <c r="F247" s="249">
        <f>'Appendix J-2'!AT21</f>
        <v>10572</v>
      </c>
      <c r="G247" s="24">
        <f t="shared" si="99"/>
        <v>14.999545970488082</v>
      </c>
      <c r="H247" s="248">
        <f>'Appendix J-2'!AV21</f>
        <v>158575.20000000001</v>
      </c>
      <c r="I247" s="688"/>
      <c r="J247" s="205"/>
      <c r="N247" s="31" t="s">
        <v>537</v>
      </c>
      <c r="O247" s="31">
        <v>5308</v>
      </c>
      <c r="P247" s="31">
        <v>2</v>
      </c>
    </row>
    <row r="248" spans="1:35" x14ac:dyDescent="0.25">
      <c r="A248" s="21">
        <f>A$14</f>
        <v>1752</v>
      </c>
      <c r="B248" s="149">
        <f t="shared" si="100"/>
        <v>7.4755606670500289E-3</v>
      </c>
      <c r="C248" s="20">
        <f t="shared" ref="C248:C284" si="102">C247+1</f>
        <v>10</v>
      </c>
      <c r="D248" s="21">
        <f>ROUND((TREND($D$247,$A$247,A248)),0)</f>
        <v>3</v>
      </c>
      <c r="E248" s="22">
        <f>IF(TREND($E$239:$E$247,$C$239:$C$247,C248)&lt;35040,TREND($E$239:$E$247,$C$239:$C$247,C248),35040)</f>
        <v>1348.2962962962958</v>
      </c>
      <c r="F248" s="21">
        <f>D248*E248</f>
        <v>4044.8888888888878</v>
      </c>
      <c r="G248" s="24">
        <f>'DDS Rates for Amend'!P17</f>
        <v>15</v>
      </c>
      <c r="H248" s="33">
        <f>F248*G248</f>
        <v>60673.333333333314</v>
      </c>
      <c r="I248" s="688"/>
      <c r="J248" s="205"/>
      <c r="N248" s="407" t="s">
        <v>510</v>
      </c>
      <c r="O248" s="31">
        <f>TREND(O246:O247,P246:P247,P248)</f>
        <v>6460</v>
      </c>
      <c r="P248" s="31">
        <v>3</v>
      </c>
    </row>
    <row r="249" spans="1:35" x14ac:dyDescent="0.25">
      <c r="A249" s="21">
        <f>A$15</f>
        <v>1822</v>
      </c>
      <c r="B249" s="149">
        <f t="shared" si="100"/>
        <v>3.9954337899543377E-2</v>
      </c>
      <c r="C249" s="20">
        <f t="shared" si="102"/>
        <v>11</v>
      </c>
      <c r="D249" s="21">
        <v>3</v>
      </c>
      <c r="E249" s="22">
        <f t="shared" ref="E249:E253" si="103">IF(TREND($E$239:$E$247,$C$239:$C$247,C249)&lt;35040,TREND($E$239:$E$247,$C$239:$C$247,C249),35040)</f>
        <v>1382.9629629629626</v>
      </c>
      <c r="F249" s="21">
        <f t="shared" ref="F249:F253" si="104">D249*E249</f>
        <v>4148.8888888888878</v>
      </c>
      <c r="G249" s="24">
        <f>'DDS Rates for Amend'!P18</f>
        <v>15.39</v>
      </c>
      <c r="H249" s="33">
        <f t="shared" ref="H249:H253" si="105">F249*G249</f>
        <v>63851.399999999987</v>
      </c>
      <c r="I249" s="688"/>
      <c r="J249" s="205"/>
      <c r="N249" s="407" t="s">
        <v>511</v>
      </c>
      <c r="O249" s="407">
        <f t="shared" ref="O249:O253" si="106">TREND(O247:O248,P247:P248,P249)</f>
        <v>7612</v>
      </c>
      <c r="P249" s="31">
        <v>4</v>
      </c>
    </row>
    <row r="250" spans="1:35" x14ac:dyDescent="0.25">
      <c r="A250" s="21">
        <f>A$16</f>
        <v>1872</v>
      </c>
      <c r="B250" s="149">
        <f t="shared" si="100"/>
        <v>2.7442371020856202E-2</v>
      </c>
      <c r="C250" s="20">
        <f t="shared" si="102"/>
        <v>12</v>
      </c>
      <c r="D250" s="21">
        <v>9</v>
      </c>
      <c r="E250" s="22">
        <f t="shared" si="103"/>
        <v>1417.6296296296291</v>
      </c>
      <c r="F250" s="21">
        <f t="shared" si="104"/>
        <v>12758.666666666662</v>
      </c>
      <c r="G250" s="24">
        <f>'DDS Rates for Amend'!P19</f>
        <v>15.790140000000001</v>
      </c>
      <c r="H250" s="33">
        <f t="shared" si="105"/>
        <v>201461.13287999993</v>
      </c>
      <c r="I250" s="688"/>
      <c r="J250" s="205"/>
      <c r="N250" s="407" t="s">
        <v>512</v>
      </c>
      <c r="O250" s="407">
        <f t="shared" si="106"/>
        <v>8764</v>
      </c>
      <c r="P250" s="31">
        <v>5</v>
      </c>
    </row>
    <row r="251" spans="1:35" x14ac:dyDescent="0.25">
      <c r="A251" s="21">
        <f>A$17</f>
        <v>1902</v>
      </c>
      <c r="B251" s="149">
        <f t="shared" si="100"/>
        <v>1.6025641025641024E-2</v>
      </c>
      <c r="C251" s="20">
        <f t="shared" si="102"/>
        <v>13</v>
      </c>
      <c r="D251" s="21">
        <v>12</v>
      </c>
      <c r="E251" s="22">
        <f t="shared" si="103"/>
        <v>1452.2962962962956</v>
      </c>
      <c r="F251" s="21">
        <f t="shared" si="104"/>
        <v>17427.555555555547</v>
      </c>
      <c r="G251" s="24">
        <f>'DDS Rates for Amend'!P20</f>
        <v>16.200683640000001</v>
      </c>
      <c r="H251" s="33">
        <f t="shared" si="105"/>
        <v>282338.31417407992</v>
      </c>
      <c r="I251" s="688"/>
      <c r="J251" s="205"/>
      <c r="N251" s="407" t="s">
        <v>513</v>
      </c>
      <c r="O251" s="407">
        <f t="shared" si="106"/>
        <v>9916</v>
      </c>
      <c r="P251" s="31">
        <v>6</v>
      </c>
    </row>
    <row r="252" spans="1:35" x14ac:dyDescent="0.25">
      <c r="A252" s="21">
        <f>A$18</f>
        <v>1932</v>
      </c>
      <c r="B252" s="149">
        <f t="shared" si="100"/>
        <v>1.5772870662460567E-2</v>
      </c>
      <c r="C252" s="20">
        <f t="shared" si="102"/>
        <v>14</v>
      </c>
      <c r="D252" s="21">
        <v>24</v>
      </c>
      <c r="E252" s="22">
        <f t="shared" si="103"/>
        <v>1486.9629629629624</v>
      </c>
      <c r="F252" s="21">
        <f t="shared" si="104"/>
        <v>35687.111111111095</v>
      </c>
      <c r="G252" s="24">
        <f>'DDS Rates for Amend'!P21</f>
        <v>16.62190141464</v>
      </c>
      <c r="H252" s="33">
        <f t="shared" si="105"/>
        <v>593187.64266219235</v>
      </c>
      <c r="I252" s="688"/>
      <c r="J252" s="205"/>
      <c r="N252" s="407" t="s">
        <v>514</v>
      </c>
      <c r="O252" s="407">
        <f t="shared" si="106"/>
        <v>11068</v>
      </c>
      <c r="P252" s="31">
        <v>7</v>
      </c>
    </row>
    <row r="253" spans="1:35" x14ac:dyDescent="0.25">
      <c r="A253" s="21">
        <f>A$19</f>
        <v>1962</v>
      </c>
      <c r="B253" s="149">
        <f t="shared" si="100"/>
        <v>1.5527950310559006E-2</v>
      </c>
      <c r="C253" s="20">
        <f t="shared" si="102"/>
        <v>15</v>
      </c>
      <c r="D253" s="21">
        <v>24</v>
      </c>
      <c r="E253" s="22">
        <f t="shared" si="103"/>
        <v>1521.6296296296291</v>
      </c>
      <c r="F253" s="21">
        <f t="shared" si="104"/>
        <v>36519.111111111095</v>
      </c>
      <c r="G253" s="24">
        <f>'DDS Rates for Amend'!P22</f>
        <v>17.05407085142064</v>
      </c>
      <c r="H253" s="33">
        <f t="shared" si="105"/>
        <v>622799.50831979129</v>
      </c>
      <c r="I253" s="689"/>
      <c r="J253" s="205"/>
      <c r="K253" s="285">
        <f>SUM(H239:H253)</f>
        <v>2130950.531369397</v>
      </c>
      <c r="L253" s="17">
        <f>IF(K253='Appendix J-2'!CD21,0,error)</f>
        <v>0</v>
      </c>
      <c r="N253" s="407" t="s">
        <v>515</v>
      </c>
      <c r="O253" s="407">
        <f t="shared" si="106"/>
        <v>12220</v>
      </c>
      <c r="P253" s="31">
        <v>8</v>
      </c>
    </row>
    <row r="254" spans="1:35" customFormat="1" x14ac:dyDescent="0.25">
      <c r="D254" s="90"/>
      <c r="E254" s="88"/>
      <c r="F254" s="31"/>
      <c r="G254" s="31"/>
      <c r="H254" s="31"/>
      <c r="I254" s="568"/>
      <c r="K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row>
    <row r="255" spans="1:35" x14ac:dyDescent="0.25">
      <c r="A255" s="272" t="s">
        <v>217</v>
      </c>
      <c r="B255" s="272"/>
      <c r="C255" s="272"/>
      <c r="D255" s="292" t="str">
        <f>'Appendix J-2'!B22</f>
        <v>Visit</v>
      </c>
      <c r="E255" s="223" t="str">
        <f>'Appendix J-2'!C22</f>
        <v>15 minutes</v>
      </c>
      <c r="F255" s="690"/>
      <c r="G255" s="690"/>
      <c r="H255" s="690"/>
      <c r="I255" s="687" t="s">
        <v>1076</v>
      </c>
      <c r="J255" s="205"/>
    </row>
    <row r="256" spans="1:35" x14ac:dyDescent="0.25">
      <c r="A256" s="147" t="s">
        <v>26</v>
      </c>
      <c r="B256" s="147" t="s">
        <v>27</v>
      </c>
      <c r="C256" s="50" t="s">
        <v>166</v>
      </c>
      <c r="D256" s="91" t="s">
        <v>154</v>
      </c>
      <c r="E256" s="89" t="s">
        <v>155</v>
      </c>
      <c r="F256" s="34" t="s">
        <v>158</v>
      </c>
      <c r="G256" s="35" t="s">
        <v>156</v>
      </c>
      <c r="H256" s="51" t="s">
        <v>157</v>
      </c>
      <c r="I256" s="688"/>
      <c r="J256" s="205"/>
    </row>
    <row r="257" spans="1:35" x14ac:dyDescent="0.25">
      <c r="A257" s="21">
        <f>A$5</f>
        <v>1182</v>
      </c>
      <c r="B257" s="148"/>
      <c r="C257" s="144">
        <v>1</v>
      </c>
      <c r="D257" s="247">
        <f>'Appendix J-2'!D22</f>
        <v>1</v>
      </c>
      <c r="E257" s="22">
        <f>IF(F257=0,0,F257/D257)</f>
        <v>2020</v>
      </c>
      <c r="F257" s="247">
        <f>'Appendix J-2'!F22</f>
        <v>2020</v>
      </c>
      <c r="G257" s="24">
        <f>H257/F257</f>
        <v>19.821782178217823</v>
      </c>
      <c r="H257" s="250">
        <f>'Appendix J-2'!H22</f>
        <v>40040</v>
      </c>
      <c r="I257" s="688"/>
      <c r="J257" s="205"/>
    </row>
    <row r="258" spans="1:35" x14ac:dyDescent="0.25">
      <c r="A258" s="21">
        <f>A$6</f>
        <v>1288</v>
      </c>
      <c r="B258" s="149">
        <f>(A258-A257)/A257</f>
        <v>8.9678510998307953E-2</v>
      </c>
      <c r="C258" s="52">
        <v>2</v>
      </c>
      <c r="D258" s="247">
        <f>'Appendix J-2'!I22</f>
        <v>0</v>
      </c>
      <c r="E258" s="22">
        <f t="shared" ref="E258:E265" si="107">IF(F258=0,0,F258/D258)</f>
        <v>0</v>
      </c>
      <c r="F258" s="247">
        <f>'Appendix J-2'!K22</f>
        <v>0</v>
      </c>
      <c r="G258" s="24" t="e">
        <f t="shared" ref="G258:G265" si="108">H258/F258</f>
        <v>#DIV/0!</v>
      </c>
      <c r="H258" s="250">
        <f>'Appendix J-2'!M22</f>
        <v>0</v>
      </c>
      <c r="I258" s="688"/>
      <c r="J258" s="205"/>
    </row>
    <row r="259" spans="1:35" x14ac:dyDescent="0.25">
      <c r="A259" s="21">
        <f>A$7</f>
        <v>1495</v>
      </c>
      <c r="B259" s="149">
        <f t="shared" ref="B259:B271" si="109">(A259-A258)/A258</f>
        <v>0.16071428571428573</v>
      </c>
      <c r="C259" s="52">
        <v>3</v>
      </c>
      <c r="D259" s="247">
        <f>'Appendix J-2'!N22</f>
        <v>0</v>
      </c>
      <c r="E259" s="22">
        <f t="shared" si="107"/>
        <v>0</v>
      </c>
      <c r="F259" s="247">
        <f>'Appendix J-2'!P22</f>
        <v>0</v>
      </c>
      <c r="G259" s="24" t="e">
        <f t="shared" si="108"/>
        <v>#DIV/0!</v>
      </c>
      <c r="H259" s="248">
        <f>'Appendix J-2'!R22</f>
        <v>0</v>
      </c>
      <c r="I259" s="688"/>
      <c r="J259" s="205"/>
    </row>
    <row r="260" spans="1:35" x14ac:dyDescent="0.25">
      <c r="A260" s="21">
        <f>A$8</f>
        <v>1484</v>
      </c>
      <c r="B260" s="149">
        <f t="shared" si="109"/>
        <v>-7.3578595317725752E-3</v>
      </c>
      <c r="C260" s="52">
        <v>4</v>
      </c>
      <c r="D260" s="247">
        <f>'Appendix J-2'!S22</f>
        <v>2</v>
      </c>
      <c r="E260" s="22">
        <f t="shared" si="107"/>
        <v>3412</v>
      </c>
      <c r="F260" s="247">
        <f>'Appendix J-2'!U22</f>
        <v>6824</v>
      </c>
      <c r="G260" s="24">
        <f t="shared" si="108"/>
        <v>5</v>
      </c>
      <c r="H260" s="248">
        <f>'Appendix J-2'!W22</f>
        <v>34120</v>
      </c>
      <c r="I260" s="688"/>
      <c r="J260" s="205"/>
    </row>
    <row r="261" spans="1:35" x14ac:dyDescent="0.25">
      <c r="A261" s="21">
        <f>A$9</f>
        <v>1528</v>
      </c>
      <c r="B261" s="149">
        <f t="shared" si="109"/>
        <v>2.9649595687331536E-2</v>
      </c>
      <c r="C261" s="52">
        <v>5</v>
      </c>
      <c r="D261" s="247">
        <f>'Appendix J-2'!X22</f>
        <v>0</v>
      </c>
      <c r="E261" s="22">
        <f t="shared" si="107"/>
        <v>0</v>
      </c>
      <c r="F261" s="247">
        <f>'Appendix J-2'!Z22</f>
        <v>0</v>
      </c>
      <c r="G261" s="24" t="e">
        <f t="shared" si="108"/>
        <v>#DIV/0!</v>
      </c>
      <c r="H261" s="248">
        <f>'Appendix J-2'!AB22</f>
        <v>0</v>
      </c>
      <c r="I261" s="688"/>
      <c r="J261" s="205"/>
      <c r="N261" s="86"/>
    </row>
    <row r="262" spans="1:35" x14ac:dyDescent="0.25">
      <c r="A262" s="21">
        <f>A$10</f>
        <v>1592</v>
      </c>
      <c r="B262" s="149">
        <f t="shared" si="109"/>
        <v>4.1884816753926704E-2</v>
      </c>
      <c r="C262" s="20">
        <v>6</v>
      </c>
      <c r="D262" s="249">
        <f>'Appendix J-2'!AC22</f>
        <v>0</v>
      </c>
      <c r="E262" s="22">
        <f t="shared" si="107"/>
        <v>0</v>
      </c>
      <c r="F262" s="249">
        <f>'Appendix J-2'!AE22</f>
        <v>0</v>
      </c>
      <c r="G262" s="24" t="e">
        <f t="shared" si="108"/>
        <v>#DIV/0!</v>
      </c>
      <c r="H262" s="248">
        <f>'Appendix J-2'!AG22</f>
        <v>0</v>
      </c>
      <c r="I262" s="688"/>
      <c r="J262" s="205"/>
      <c r="N262" s="31" t="s">
        <v>535</v>
      </c>
    </row>
    <row r="263" spans="1:35" x14ac:dyDescent="0.25">
      <c r="A263" s="21">
        <f>A$11</f>
        <v>1642</v>
      </c>
      <c r="B263" s="149">
        <f t="shared" si="109"/>
        <v>3.1407035175879394E-2</v>
      </c>
      <c r="C263" s="20">
        <f t="shared" si="102"/>
        <v>7</v>
      </c>
      <c r="D263" s="249">
        <f>'Appendix J-2'!AH22</f>
        <v>0</v>
      </c>
      <c r="E263" s="22">
        <f t="shared" si="107"/>
        <v>0</v>
      </c>
      <c r="F263" s="249">
        <f>'Appendix J-2'!AJ22</f>
        <v>0</v>
      </c>
      <c r="G263" s="24" t="e">
        <f t="shared" si="108"/>
        <v>#DIV/0!</v>
      </c>
      <c r="H263" s="248">
        <f>'Appendix J-2'!AL22</f>
        <v>0</v>
      </c>
      <c r="I263" s="688"/>
      <c r="J263" s="205"/>
      <c r="N263" s="31" t="s">
        <v>549</v>
      </c>
      <c r="O263" s="31">
        <v>3</v>
      </c>
      <c r="P263" s="31">
        <v>1</v>
      </c>
    </row>
    <row r="264" spans="1:35" x14ac:dyDescent="0.25">
      <c r="A264" s="21">
        <f>A$12</f>
        <v>1675</v>
      </c>
      <c r="B264" s="149">
        <f t="shared" si="109"/>
        <v>2.0097442143727162E-2</v>
      </c>
      <c r="C264" s="20">
        <f t="shared" si="102"/>
        <v>8</v>
      </c>
      <c r="D264" s="249">
        <f>'Appendix J-2'!AM22</f>
        <v>0</v>
      </c>
      <c r="E264" s="22">
        <f t="shared" si="107"/>
        <v>0</v>
      </c>
      <c r="F264" s="249">
        <f>'Appendix J-2'!AO22</f>
        <v>0</v>
      </c>
      <c r="G264" s="24" t="e">
        <f t="shared" si="108"/>
        <v>#DIV/0!</v>
      </c>
      <c r="H264" s="248">
        <f>'Appendix J-2'!AQ22</f>
        <v>0</v>
      </c>
      <c r="I264" s="688"/>
      <c r="J264" s="205"/>
      <c r="N264" s="31" t="s">
        <v>536</v>
      </c>
      <c r="O264" s="31">
        <v>4</v>
      </c>
      <c r="P264" s="31">
        <v>2</v>
      </c>
    </row>
    <row r="265" spans="1:35" x14ac:dyDescent="0.25">
      <c r="A265" s="21">
        <f>A$13</f>
        <v>1739</v>
      </c>
      <c r="B265" s="149">
        <f t="shared" si="109"/>
        <v>3.8208955223880597E-2</v>
      </c>
      <c r="C265" s="20">
        <f t="shared" si="102"/>
        <v>9</v>
      </c>
      <c r="D265" s="249">
        <f>'Appendix J-2'!AR22</f>
        <v>7</v>
      </c>
      <c r="E265" s="22">
        <f t="shared" si="107"/>
        <v>6212.4285714285716</v>
      </c>
      <c r="F265" s="249">
        <f>'Appendix J-2'!AT22</f>
        <v>43487</v>
      </c>
      <c r="G265" s="24">
        <f t="shared" si="108"/>
        <v>12.499241152528342</v>
      </c>
      <c r="H265" s="248">
        <f>'Appendix J-2'!AV22</f>
        <v>543554.5</v>
      </c>
      <c r="I265" s="688"/>
      <c r="J265" s="205"/>
      <c r="N265" s="31" t="s">
        <v>537</v>
      </c>
      <c r="O265" s="31">
        <v>6</v>
      </c>
      <c r="P265" s="31">
        <v>3</v>
      </c>
    </row>
    <row r="266" spans="1:35" ht="15.75" customHeight="1" x14ac:dyDescent="0.25">
      <c r="A266" s="21">
        <f>A$14</f>
        <v>1752</v>
      </c>
      <c r="B266" s="149">
        <f t="shared" si="109"/>
        <v>7.4755606670500289E-3</v>
      </c>
      <c r="C266" s="20">
        <f t="shared" si="102"/>
        <v>10</v>
      </c>
      <c r="D266" s="21">
        <f t="shared" ref="D266:D271" si="110">O266</f>
        <v>7</v>
      </c>
      <c r="E266" s="22">
        <f>IF(TREND($E$257:$E$265,$C$257:$C$265,C266)&lt;35040,TREND($E$257:$E$265,$C$257:$C$265,C266),35040)</f>
        <v>2406.9682539682535</v>
      </c>
      <c r="F266" s="21">
        <f>D266*E266</f>
        <v>16848.777777777774</v>
      </c>
      <c r="G266" s="24">
        <f>'DDS Rates for Amend'!Q17</f>
        <v>12.5</v>
      </c>
      <c r="H266" s="33">
        <f>F266*G266</f>
        <v>210609.72222222216</v>
      </c>
      <c r="I266" s="688"/>
      <c r="J266" s="205"/>
      <c r="N266" s="31" t="s">
        <v>510</v>
      </c>
      <c r="O266" s="31">
        <f>ROUND(TREND(O263:O265,P263:P265,P266),0)</f>
        <v>7</v>
      </c>
      <c r="P266" s="31">
        <v>4</v>
      </c>
    </row>
    <row r="267" spans="1:35" ht="15.75" customHeight="1" x14ac:dyDescent="0.25">
      <c r="A267" s="21">
        <f>A$15</f>
        <v>1822</v>
      </c>
      <c r="B267" s="149">
        <f t="shared" si="109"/>
        <v>3.9954337899543377E-2</v>
      </c>
      <c r="C267" s="20">
        <f t="shared" si="102"/>
        <v>11</v>
      </c>
      <c r="D267" s="21">
        <f t="shared" si="110"/>
        <v>9</v>
      </c>
      <c r="E267" s="22">
        <f t="shared" ref="E267:E271" si="111">IF(TREND($E$257:$E$265,$C$257:$C$265,C267)&lt;35040,TREND($E$257:$E$265,$C$257:$C$265,C267),35040)</f>
        <v>2629.5968253968249</v>
      </c>
      <c r="F267" s="21">
        <f t="shared" ref="F267:F271" si="112">D267*E267</f>
        <v>23666.371428571423</v>
      </c>
      <c r="G267" s="24">
        <f>'DDS Rates for Amend'!Q18</f>
        <v>12.824999999999999</v>
      </c>
      <c r="H267" s="33">
        <f t="shared" ref="H267:H271" si="113">F267*G267</f>
        <v>303521.2135714285</v>
      </c>
      <c r="I267" s="688"/>
      <c r="J267" s="205"/>
      <c r="N267" s="31" t="s">
        <v>511</v>
      </c>
      <c r="O267" s="31">
        <f t="shared" ref="O267:O271" si="114">ROUND(TREND(O264:O266,P264:P266,P267),0)</f>
        <v>9</v>
      </c>
      <c r="P267" s="31">
        <v>5</v>
      </c>
    </row>
    <row r="268" spans="1:35" ht="15.75" customHeight="1" x14ac:dyDescent="0.25">
      <c r="A268" s="21">
        <f>A$16</f>
        <v>1872</v>
      </c>
      <c r="B268" s="149">
        <f t="shared" si="109"/>
        <v>2.7442371020856202E-2</v>
      </c>
      <c r="C268" s="20">
        <f t="shared" si="102"/>
        <v>12</v>
      </c>
      <c r="D268" s="21">
        <f t="shared" si="110"/>
        <v>10</v>
      </c>
      <c r="E268" s="22">
        <f t="shared" si="111"/>
        <v>2852.2253968253958</v>
      </c>
      <c r="F268" s="21">
        <f t="shared" si="112"/>
        <v>28522.253968253957</v>
      </c>
      <c r="G268" s="24">
        <f>'DDS Rates for Amend'!Q19</f>
        <v>13.158449999999998</v>
      </c>
      <c r="H268" s="33">
        <f t="shared" si="113"/>
        <v>375308.65272857127</v>
      </c>
      <c r="I268" s="688"/>
      <c r="J268" s="205"/>
      <c r="N268" s="31" t="s">
        <v>512</v>
      </c>
      <c r="O268" s="31">
        <f t="shared" si="114"/>
        <v>10</v>
      </c>
      <c r="P268" s="31">
        <v>6</v>
      </c>
    </row>
    <row r="269" spans="1:35" ht="15.75" customHeight="1" x14ac:dyDescent="0.25">
      <c r="A269" s="21">
        <f>A$17</f>
        <v>1902</v>
      </c>
      <c r="B269" s="149">
        <f t="shared" si="109"/>
        <v>1.6025641025641024E-2</v>
      </c>
      <c r="C269" s="20">
        <f t="shared" si="102"/>
        <v>13</v>
      </c>
      <c r="D269" s="21">
        <f t="shared" si="110"/>
        <v>13</v>
      </c>
      <c r="E269" s="22">
        <f t="shared" si="111"/>
        <v>3074.8539682539672</v>
      </c>
      <c r="F269" s="21">
        <f t="shared" si="112"/>
        <v>39973.101587301571</v>
      </c>
      <c r="G269" s="24">
        <f>'DDS Rates for Amend'!Q20</f>
        <v>13.500569699999998</v>
      </c>
      <c r="H269" s="33">
        <f t="shared" si="113"/>
        <v>539659.64410454547</v>
      </c>
      <c r="I269" s="688"/>
      <c r="J269" s="205"/>
      <c r="N269" s="31" t="s">
        <v>513</v>
      </c>
      <c r="O269" s="31">
        <f t="shared" si="114"/>
        <v>13</v>
      </c>
      <c r="P269" s="31">
        <v>8</v>
      </c>
    </row>
    <row r="270" spans="1:35" x14ac:dyDescent="0.25">
      <c r="A270" s="21">
        <f>A$18</f>
        <v>1932</v>
      </c>
      <c r="B270" s="149">
        <f t="shared" si="109"/>
        <v>1.5772870662460567E-2</v>
      </c>
      <c r="C270" s="20">
        <f t="shared" si="102"/>
        <v>14</v>
      </c>
      <c r="D270" s="21">
        <f t="shared" si="110"/>
        <v>14</v>
      </c>
      <c r="E270" s="22">
        <f t="shared" si="111"/>
        <v>3297.4825396825386</v>
      </c>
      <c r="F270" s="21">
        <f t="shared" si="112"/>
        <v>46164.755555555537</v>
      </c>
      <c r="G270" s="24">
        <f>'DDS Rates for Amend'!Q21</f>
        <v>13.851584512199999</v>
      </c>
      <c r="H270" s="33">
        <f t="shared" si="113"/>
        <v>639455.01306283195</v>
      </c>
      <c r="I270" s="688"/>
      <c r="J270" s="205"/>
      <c r="N270" s="31" t="s">
        <v>514</v>
      </c>
      <c r="O270" s="31">
        <f t="shared" si="114"/>
        <v>14</v>
      </c>
      <c r="P270" s="31">
        <v>9</v>
      </c>
    </row>
    <row r="271" spans="1:35" x14ac:dyDescent="0.25">
      <c r="A271" s="21">
        <f>A$19</f>
        <v>1962</v>
      </c>
      <c r="B271" s="149">
        <f t="shared" si="109"/>
        <v>1.5527950310559006E-2</v>
      </c>
      <c r="C271" s="20">
        <f t="shared" si="102"/>
        <v>15</v>
      </c>
      <c r="D271" s="21">
        <f t="shared" si="110"/>
        <v>16</v>
      </c>
      <c r="E271" s="22">
        <f t="shared" si="111"/>
        <v>3520.1111111111099</v>
      </c>
      <c r="F271" s="21">
        <f t="shared" si="112"/>
        <v>56321.777777777759</v>
      </c>
      <c r="G271" s="24">
        <f>'DDS Rates for Amend'!Q22</f>
        <v>14.211725709517198</v>
      </c>
      <c r="H271" s="33">
        <f t="shared" si="113"/>
        <v>800429.65725015861</v>
      </c>
      <c r="I271" s="689"/>
      <c r="J271" s="205"/>
      <c r="K271" s="285">
        <f>SUM(H257:H271)</f>
        <v>3486698.4029397578</v>
      </c>
      <c r="L271" s="17">
        <f>IF(K271='Appendix J-2'!CD22,0,error)</f>
        <v>0</v>
      </c>
      <c r="N271" s="31" t="s">
        <v>515</v>
      </c>
      <c r="O271" s="31">
        <f t="shared" si="114"/>
        <v>16</v>
      </c>
      <c r="P271" s="31">
        <v>10</v>
      </c>
    </row>
    <row r="272" spans="1:35" customFormat="1" x14ac:dyDescent="0.25">
      <c r="D272" s="90"/>
      <c r="E272" s="88"/>
      <c r="F272" s="31"/>
      <c r="G272" s="31"/>
      <c r="H272" s="31"/>
      <c r="I272" s="569"/>
      <c r="J272" s="72"/>
      <c r="K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row>
    <row r="273" spans="1:12" x14ac:dyDescent="0.25">
      <c r="A273" s="271" t="s">
        <v>272</v>
      </c>
      <c r="B273" s="272"/>
      <c r="C273" s="272"/>
      <c r="D273" s="292" t="str">
        <f>'Appendix J-2'!B7</f>
        <v>Visit</v>
      </c>
      <c r="E273" s="404" t="s">
        <v>152</v>
      </c>
      <c r="F273" s="330"/>
      <c r="G273" s="330"/>
      <c r="H273" s="330"/>
      <c r="I273" s="687" t="s">
        <v>1142</v>
      </c>
      <c r="J273" s="205"/>
    </row>
    <row r="274" spans="1:12" x14ac:dyDescent="0.25">
      <c r="A274" s="147" t="s">
        <v>26</v>
      </c>
      <c r="B274" s="147" t="s">
        <v>27</v>
      </c>
      <c r="C274" s="51" t="s">
        <v>166</v>
      </c>
      <c r="D274" s="91" t="s">
        <v>154</v>
      </c>
      <c r="E274" s="89" t="s">
        <v>155</v>
      </c>
      <c r="F274" s="34" t="s">
        <v>158</v>
      </c>
      <c r="G274" s="35" t="s">
        <v>156</v>
      </c>
      <c r="H274" s="51" t="s">
        <v>157</v>
      </c>
      <c r="I274" s="688"/>
      <c r="J274" s="203"/>
    </row>
    <row r="275" spans="1:12" ht="15" customHeight="1" x14ac:dyDescent="0.25">
      <c r="A275" s="21">
        <f>A$5</f>
        <v>1182</v>
      </c>
      <c r="B275" s="148"/>
      <c r="C275" s="144">
        <v>1</v>
      </c>
      <c r="D275" s="247">
        <f>'Appendix J-2'!D7</f>
        <v>0</v>
      </c>
      <c r="E275" s="22">
        <f>IF(F275=0,0,F275/D275)</f>
        <v>0</v>
      </c>
      <c r="F275" s="247">
        <f>'Appendix J-2'!F7</f>
        <v>0</v>
      </c>
      <c r="G275" s="24" t="e">
        <f>H275/F275</f>
        <v>#DIV/0!</v>
      </c>
      <c r="H275" s="250">
        <f>'Appendix J-2'!H7</f>
        <v>0</v>
      </c>
      <c r="I275" s="688"/>
      <c r="J275" s="200"/>
    </row>
    <row r="276" spans="1:12" x14ac:dyDescent="0.25">
      <c r="A276" s="21">
        <f>A$6</f>
        <v>1288</v>
      </c>
      <c r="B276" s="149">
        <f>(A276-A275)/A275</f>
        <v>8.9678510998307953E-2</v>
      </c>
      <c r="C276" s="52">
        <v>2</v>
      </c>
      <c r="D276" s="247">
        <f>'Appendix J-2'!I7</f>
        <v>0</v>
      </c>
      <c r="E276" s="22">
        <f t="shared" ref="E276:E283" si="115">IF(F276=0,0,F276/D276)</f>
        <v>0</v>
      </c>
      <c r="F276" s="247">
        <f>'Appendix J-2'!K7</f>
        <v>0</v>
      </c>
      <c r="G276" s="24" t="e">
        <f t="shared" ref="G276:G283" si="116">H276/F276</f>
        <v>#DIV/0!</v>
      </c>
      <c r="H276" s="250">
        <f>'Appendix J-2'!M7</f>
        <v>0</v>
      </c>
      <c r="I276" s="688"/>
      <c r="J276" s="200"/>
    </row>
    <row r="277" spans="1:12" x14ac:dyDescent="0.25">
      <c r="A277" s="21">
        <f>A$7</f>
        <v>1495</v>
      </c>
      <c r="B277" s="149">
        <f t="shared" ref="B277:B289" si="117">(A277-A276)/A276</f>
        <v>0.16071428571428573</v>
      </c>
      <c r="C277" s="52">
        <v>3</v>
      </c>
      <c r="D277" s="247">
        <f>'Appendix J-2'!N7</f>
        <v>1</v>
      </c>
      <c r="E277" s="22">
        <f t="shared" si="115"/>
        <v>8</v>
      </c>
      <c r="F277" s="247">
        <f>'Appendix J-2'!P7</f>
        <v>8</v>
      </c>
      <c r="G277" s="24">
        <f t="shared" si="116"/>
        <v>15</v>
      </c>
      <c r="H277" s="248">
        <f>'Appendix J-2'!R7</f>
        <v>120</v>
      </c>
      <c r="I277" s="688"/>
      <c r="J277" s="201"/>
    </row>
    <row r="278" spans="1:12" x14ac:dyDescent="0.25">
      <c r="A278" s="21">
        <f>A$8</f>
        <v>1484</v>
      </c>
      <c r="B278" s="149">
        <f t="shared" si="117"/>
        <v>-7.3578595317725752E-3</v>
      </c>
      <c r="C278" s="52">
        <f t="shared" ref="C278" si="118">C277+1</f>
        <v>4</v>
      </c>
      <c r="D278" s="247">
        <f>'Appendix J-2'!S7</f>
        <v>0</v>
      </c>
      <c r="E278" s="22">
        <f t="shared" si="115"/>
        <v>0</v>
      </c>
      <c r="F278" s="247">
        <f>'Appendix J-2'!U7</f>
        <v>0</v>
      </c>
      <c r="G278" s="24" t="e">
        <f t="shared" si="116"/>
        <v>#DIV/0!</v>
      </c>
      <c r="H278" s="248">
        <f>'Appendix J-2'!W6</f>
        <v>0</v>
      </c>
      <c r="I278" s="688"/>
      <c r="J278" s="201"/>
    </row>
    <row r="279" spans="1:12" x14ac:dyDescent="0.25">
      <c r="A279" s="21">
        <f>A$9</f>
        <v>1528</v>
      </c>
      <c r="B279" s="149">
        <f t="shared" si="117"/>
        <v>2.9649595687331536E-2</v>
      </c>
      <c r="C279" s="52">
        <f t="shared" si="102"/>
        <v>5</v>
      </c>
      <c r="D279" s="247">
        <f>'Appendix J-2'!X7</f>
        <v>0</v>
      </c>
      <c r="E279" s="22">
        <f t="shared" si="115"/>
        <v>0</v>
      </c>
      <c r="F279" s="247">
        <f>'Appendix J-2'!Z7</f>
        <v>0</v>
      </c>
      <c r="G279" s="24" t="e">
        <f t="shared" si="116"/>
        <v>#DIV/0!</v>
      </c>
      <c r="H279" s="248">
        <f>'Appendix J-2'!AB7</f>
        <v>0</v>
      </c>
      <c r="I279" s="688"/>
      <c r="J279" s="201"/>
    </row>
    <row r="280" spans="1:12" x14ac:dyDescent="0.25">
      <c r="A280" s="21">
        <f>A$10</f>
        <v>1592</v>
      </c>
      <c r="B280" s="149">
        <f t="shared" si="117"/>
        <v>4.1884816753926704E-2</v>
      </c>
      <c r="C280" s="52">
        <f t="shared" si="102"/>
        <v>6</v>
      </c>
      <c r="D280" s="249">
        <f>'Appendix J-2'!AC7</f>
        <v>0</v>
      </c>
      <c r="E280" s="22">
        <f t="shared" si="115"/>
        <v>0</v>
      </c>
      <c r="F280" s="249">
        <f>'Appendix J-2'!AE7</f>
        <v>0</v>
      </c>
      <c r="G280" s="24" t="e">
        <f t="shared" si="116"/>
        <v>#DIV/0!</v>
      </c>
      <c r="H280" s="248">
        <f>'Appendix J-2'!AG7</f>
        <v>0</v>
      </c>
      <c r="I280" s="688"/>
      <c r="J280" s="204"/>
    </row>
    <row r="281" spans="1:12" x14ac:dyDescent="0.25">
      <c r="A281" s="21">
        <f>A$11</f>
        <v>1642</v>
      </c>
      <c r="B281" s="149">
        <f t="shared" si="117"/>
        <v>3.1407035175879394E-2</v>
      </c>
      <c r="C281" s="20">
        <f t="shared" si="102"/>
        <v>7</v>
      </c>
      <c r="D281" s="249">
        <f>'Appendix J-2'!AH7</f>
        <v>0</v>
      </c>
      <c r="E281" s="22">
        <f t="shared" si="115"/>
        <v>0</v>
      </c>
      <c r="F281" s="249">
        <f>'Appendix J-2'!AJ7</f>
        <v>0</v>
      </c>
      <c r="G281" s="24" t="e">
        <f t="shared" si="116"/>
        <v>#DIV/0!</v>
      </c>
      <c r="H281" s="248">
        <f>'Appendix J-2'!AL7</f>
        <v>0</v>
      </c>
      <c r="I281" s="688"/>
      <c r="J281" s="204"/>
    </row>
    <row r="282" spans="1:12" x14ac:dyDescent="0.25">
      <c r="A282" s="21">
        <f>A$12</f>
        <v>1675</v>
      </c>
      <c r="B282" s="149">
        <f t="shared" si="117"/>
        <v>2.0097442143727162E-2</v>
      </c>
      <c r="C282" s="20">
        <f t="shared" si="102"/>
        <v>8</v>
      </c>
      <c r="D282" s="249">
        <f>'Appendix J-2'!AM7</f>
        <v>0</v>
      </c>
      <c r="E282" s="22">
        <f t="shared" si="115"/>
        <v>0</v>
      </c>
      <c r="F282" s="249">
        <f>'Appendix J-2'!AO7</f>
        <v>0</v>
      </c>
      <c r="G282" s="24" t="e">
        <f t="shared" si="116"/>
        <v>#DIV/0!</v>
      </c>
      <c r="H282" s="248">
        <f>'Appendix J-2'!AQ7</f>
        <v>0</v>
      </c>
      <c r="I282" s="688"/>
      <c r="J282" s="204"/>
    </row>
    <row r="283" spans="1:12" x14ac:dyDescent="0.25">
      <c r="A283" s="21">
        <f>A$13</f>
        <v>1739</v>
      </c>
      <c r="B283" s="149">
        <f t="shared" si="117"/>
        <v>3.8208955223880597E-2</v>
      </c>
      <c r="C283" s="20">
        <f t="shared" si="102"/>
        <v>9</v>
      </c>
      <c r="D283" s="249">
        <f>'Appendix J-2'!AR7</f>
        <v>15</v>
      </c>
      <c r="E283" s="22">
        <f t="shared" si="115"/>
        <v>165.6</v>
      </c>
      <c r="F283" s="249">
        <f>'Appendix J-2'!AT7</f>
        <v>2484</v>
      </c>
      <c r="G283" s="24">
        <f t="shared" si="116"/>
        <v>15.232367149758453</v>
      </c>
      <c r="H283" s="248">
        <f>'Appendix J-2'!AV7</f>
        <v>37837.199999999997</v>
      </c>
      <c r="I283" s="688"/>
      <c r="J283" s="204"/>
    </row>
    <row r="284" spans="1:12" x14ac:dyDescent="0.25">
      <c r="A284" s="21">
        <f>A$14</f>
        <v>1752</v>
      </c>
      <c r="B284" s="149">
        <f t="shared" si="117"/>
        <v>7.4755606670500289E-3</v>
      </c>
      <c r="C284" s="20">
        <f t="shared" si="102"/>
        <v>10</v>
      </c>
      <c r="D284" s="21">
        <f>D283</f>
        <v>15</v>
      </c>
      <c r="E284" s="22">
        <f>E283</f>
        <v>165.6</v>
      </c>
      <c r="F284" s="21">
        <f t="shared" ref="F284:F289" si="119">D284*E284</f>
        <v>2484</v>
      </c>
      <c r="G284" s="24">
        <f>'DDS Rates for Amend'!E17</f>
        <v>15.36</v>
      </c>
      <c r="H284" s="33">
        <f>F284*G284</f>
        <v>38154.239999999998</v>
      </c>
      <c r="I284" s="688"/>
      <c r="J284" s="204"/>
      <c r="K284" s="287">
        <f>SUM(H275:H284)</f>
        <v>76111.44</v>
      </c>
      <c r="L284" s="17">
        <f>IF(K284='Appendix J-2'!CD7,0,error)</f>
        <v>0</v>
      </c>
    </row>
    <row r="285" spans="1:12" x14ac:dyDescent="0.25">
      <c r="A285" s="21">
        <f>A$15</f>
        <v>1822</v>
      </c>
      <c r="B285" s="149">
        <f t="shared" si="117"/>
        <v>3.9954337899543377E-2</v>
      </c>
      <c r="C285" s="20">
        <f>C284+1</f>
        <v>11</v>
      </c>
      <c r="D285" s="21">
        <f>D284+5</f>
        <v>20</v>
      </c>
      <c r="E285" s="22">
        <f t="shared" ref="E285:E289" si="120">E284</f>
        <v>165.6</v>
      </c>
      <c r="F285" s="21">
        <f t="shared" si="119"/>
        <v>3312</v>
      </c>
      <c r="G285" s="24">
        <f>'DDS Rates for Amend'!E18</f>
        <v>15.759359999999999</v>
      </c>
      <c r="H285" s="33">
        <f t="shared" ref="H285:H289" si="121">F285*G285</f>
        <v>52195.000319999999</v>
      </c>
      <c r="I285" s="688"/>
      <c r="J285" s="204"/>
      <c r="K285" s="287"/>
    </row>
    <row r="286" spans="1:12" x14ac:dyDescent="0.25">
      <c r="A286" s="21">
        <f>A$16</f>
        <v>1872</v>
      </c>
      <c r="B286" s="149">
        <f t="shared" si="117"/>
        <v>2.7442371020856202E-2</v>
      </c>
      <c r="C286" s="20">
        <f t="shared" ref="C286:C289" si="122">C285+1</f>
        <v>12</v>
      </c>
      <c r="D286" s="21">
        <f>D285</f>
        <v>20</v>
      </c>
      <c r="E286" s="22">
        <f t="shared" si="120"/>
        <v>165.6</v>
      </c>
      <c r="F286" s="21">
        <f t="shared" si="119"/>
        <v>3312</v>
      </c>
      <c r="G286" s="24">
        <f>'DDS Rates for Amend'!E19</f>
        <v>16.169103359999998</v>
      </c>
      <c r="H286" s="33">
        <f t="shared" si="121"/>
        <v>53552.070328319991</v>
      </c>
      <c r="I286" s="688"/>
      <c r="J286" s="204"/>
      <c r="K286" s="287"/>
    </row>
    <row r="287" spans="1:12" x14ac:dyDescent="0.25">
      <c r="A287" s="21">
        <f>A$17</f>
        <v>1902</v>
      </c>
      <c r="B287" s="149">
        <f t="shared" si="117"/>
        <v>1.6025641025641024E-2</v>
      </c>
      <c r="C287" s="20">
        <f t="shared" si="122"/>
        <v>13</v>
      </c>
      <c r="D287" s="21">
        <f>D286</f>
        <v>20</v>
      </c>
      <c r="E287" s="22">
        <f t="shared" si="120"/>
        <v>165.6</v>
      </c>
      <c r="F287" s="21">
        <f t="shared" si="119"/>
        <v>3312</v>
      </c>
      <c r="G287" s="24">
        <f>'DDS Rates for Amend'!E20</f>
        <v>16.589500047359998</v>
      </c>
      <c r="H287" s="33">
        <f t="shared" si="121"/>
        <v>54944.424156856316</v>
      </c>
      <c r="I287" s="688"/>
      <c r="J287" s="204"/>
      <c r="K287" s="287"/>
    </row>
    <row r="288" spans="1:12" x14ac:dyDescent="0.25">
      <c r="A288" s="21">
        <f>A$18</f>
        <v>1932</v>
      </c>
      <c r="B288" s="149">
        <f t="shared" si="117"/>
        <v>1.5772870662460567E-2</v>
      </c>
      <c r="C288" s="20">
        <f t="shared" si="122"/>
        <v>14</v>
      </c>
      <c r="D288" s="21">
        <f>D287</f>
        <v>20</v>
      </c>
      <c r="E288" s="22">
        <f t="shared" si="120"/>
        <v>165.6</v>
      </c>
      <c r="F288" s="21">
        <f t="shared" si="119"/>
        <v>3312</v>
      </c>
      <c r="G288" s="24">
        <f>'DDS Rates for Amend'!E21</f>
        <v>17.020827048591357</v>
      </c>
      <c r="H288" s="33">
        <f t="shared" si="121"/>
        <v>56372.979184934578</v>
      </c>
      <c r="I288" s="688"/>
      <c r="J288" s="204"/>
      <c r="K288" s="287"/>
    </row>
    <row r="289" spans="1:11" x14ac:dyDescent="0.25">
      <c r="A289" s="21">
        <f>A$19</f>
        <v>1962</v>
      </c>
      <c r="B289" s="149">
        <f t="shared" si="117"/>
        <v>1.5527950310559006E-2</v>
      </c>
      <c r="C289" s="20">
        <f t="shared" si="122"/>
        <v>15</v>
      </c>
      <c r="D289" s="21">
        <f>D288</f>
        <v>20</v>
      </c>
      <c r="E289" s="22">
        <f t="shared" si="120"/>
        <v>165.6</v>
      </c>
      <c r="F289" s="21">
        <f t="shared" si="119"/>
        <v>3312</v>
      </c>
      <c r="G289" s="24">
        <f>'DDS Rates for Amend'!E22</f>
        <v>17.463368551854732</v>
      </c>
      <c r="H289" s="33">
        <f t="shared" si="121"/>
        <v>57838.676643742874</v>
      </c>
      <c r="I289" s="689"/>
      <c r="J289" s="204"/>
      <c r="K289" s="287"/>
    </row>
    <row r="290" spans="1:11" x14ac:dyDescent="0.25">
      <c r="C290"/>
      <c r="I290" s="569"/>
      <c r="J290" s="72"/>
    </row>
    <row r="291" spans="1:11" x14ac:dyDescent="0.25">
      <c r="A291" s="271" t="s">
        <v>271</v>
      </c>
      <c r="B291" s="272"/>
      <c r="C291" s="272"/>
      <c r="D291" s="292" t="str">
        <f>'Appendix J-2'!B8</f>
        <v>Visit</v>
      </c>
      <c r="E291" s="223" t="str">
        <f>'Appendix J-2'!C8</f>
        <v>15 minutes</v>
      </c>
      <c r="F291" s="690"/>
      <c r="G291" s="690"/>
      <c r="H291" s="690"/>
      <c r="I291" s="687" t="s">
        <v>1089</v>
      </c>
      <c r="J291" s="205"/>
    </row>
    <row r="292" spans="1:11" x14ac:dyDescent="0.25">
      <c r="A292" s="147" t="s">
        <v>26</v>
      </c>
      <c r="B292" s="147" t="s">
        <v>27</v>
      </c>
      <c r="C292" s="50" t="s">
        <v>166</v>
      </c>
      <c r="D292" s="91" t="s">
        <v>154</v>
      </c>
      <c r="E292" s="89" t="s">
        <v>155</v>
      </c>
      <c r="F292" s="34" t="s">
        <v>158</v>
      </c>
      <c r="G292" s="35" t="s">
        <v>156</v>
      </c>
      <c r="H292" s="51" t="s">
        <v>157</v>
      </c>
      <c r="I292" s="688"/>
      <c r="J292" s="205"/>
    </row>
    <row r="293" spans="1:11" ht="15" customHeight="1" x14ac:dyDescent="0.25">
      <c r="A293" s="21">
        <f>A$5</f>
        <v>1182</v>
      </c>
      <c r="B293" s="148"/>
      <c r="C293" s="144">
        <v>1</v>
      </c>
      <c r="D293" s="247">
        <f>'Appendix J-2'!D8</f>
        <v>2</v>
      </c>
      <c r="E293" s="22">
        <f>IF(F293=0,0,F293/D293)</f>
        <v>28</v>
      </c>
      <c r="F293" s="247">
        <f>'Appendix J-2'!F8</f>
        <v>56</v>
      </c>
      <c r="G293" s="24">
        <f>H293/F293</f>
        <v>18.75</v>
      </c>
      <c r="H293" s="250">
        <f>'Appendix J-2'!H8</f>
        <v>1050</v>
      </c>
      <c r="I293" s="688"/>
      <c r="J293" s="205"/>
    </row>
    <row r="294" spans="1:11" x14ac:dyDescent="0.25">
      <c r="A294" s="21">
        <f>A$6</f>
        <v>1288</v>
      </c>
      <c r="B294" s="149">
        <f>(A294-A293)/A293</f>
        <v>8.9678510998307953E-2</v>
      </c>
      <c r="C294" s="52">
        <v>2</v>
      </c>
      <c r="D294" s="247">
        <f>'Appendix J-2'!I8</f>
        <v>7</v>
      </c>
      <c r="E294" s="22">
        <f t="shared" ref="E294:E301" si="123">IF(F294=0,0,F294/D294)</f>
        <v>21.857142857142858</v>
      </c>
      <c r="F294" s="247">
        <f>'Appendix J-2'!K8</f>
        <v>153</v>
      </c>
      <c r="G294" s="24">
        <f t="shared" ref="G294:G301" si="124">H294/F294</f>
        <v>18.75</v>
      </c>
      <c r="H294" s="250">
        <f>'Appendix J-2'!M8</f>
        <v>2868.75</v>
      </c>
      <c r="I294" s="688"/>
      <c r="J294" s="205"/>
    </row>
    <row r="295" spans="1:11" x14ac:dyDescent="0.25">
      <c r="A295" s="21">
        <f>A$7</f>
        <v>1495</v>
      </c>
      <c r="B295" s="149">
        <f t="shared" ref="B295:B307" si="125">(A295-A294)/A294</f>
        <v>0.16071428571428573</v>
      </c>
      <c r="C295" s="52">
        <v>3</v>
      </c>
      <c r="D295" s="247">
        <f>'Appendix J-2'!N8</f>
        <v>8</v>
      </c>
      <c r="E295" s="22">
        <f t="shared" si="123"/>
        <v>34.25</v>
      </c>
      <c r="F295" s="247">
        <f>'Appendix J-2'!P8</f>
        <v>274</v>
      </c>
      <c r="G295" s="24">
        <f t="shared" si="124"/>
        <v>18.75</v>
      </c>
      <c r="H295" s="248">
        <f>'Appendix J-2'!R8</f>
        <v>5137.5</v>
      </c>
      <c r="I295" s="688"/>
      <c r="J295" s="205"/>
    </row>
    <row r="296" spans="1:11" x14ac:dyDescent="0.25">
      <c r="A296" s="21">
        <f>A$8</f>
        <v>1484</v>
      </c>
      <c r="B296" s="149">
        <f t="shared" si="125"/>
        <v>-7.3578595317725752E-3</v>
      </c>
      <c r="C296" s="52">
        <f t="shared" ref="C296:C307" si="126">C295+1</f>
        <v>4</v>
      </c>
      <c r="D296" s="247">
        <f>'Appendix J-2'!S8</f>
        <v>11</v>
      </c>
      <c r="E296" s="22">
        <f t="shared" si="123"/>
        <v>54.545454545454547</v>
      </c>
      <c r="F296" s="247">
        <f>'Appendix J-2'!U8</f>
        <v>600</v>
      </c>
      <c r="G296" s="24">
        <f t="shared" si="124"/>
        <v>18.75</v>
      </c>
      <c r="H296" s="248">
        <f>'Appendix J-2'!W8</f>
        <v>11250</v>
      </c>
      <c r="I296" s="688"/>
      <c r="J296" s="205"/>
    </row>
    <row r="297" spans="1:11" x14ac:dyDescent="0.25">
      <c r="A297" s="21">
        <f>A$9</f>
        <v>1528</v>
      </c>
      <c r="B297" s="149">
        <f t="shared" si="125"/>
        <v>2.9649595687331536E-2</v>
      </c>
      <c r="C297" s="52">
        <f t="shared" si="126"/>
        <v>5</v>
      </c>
      <c r="D297" s="247">
        <f>'Appendix J-2'!X8</f>
        <v>31</v>
      </c>
      <c r="E297" s="22">
        <f t="shared" si="123"/>
        <v>31.516129032258064</v>
      </c>
      <c r="F297" s="247">
        <f>'Appendix J-2'!Z8</f>
        <v>977</v>
      </c>
      <c r="G297" s="24">
        <f t="shared" si="124"/>
        <v>18.747952917093141</v>
      </c>
      <c r="H297" s="248">
        <f>'Appendix J-2'!AB8</f>
        <v>18316.75</v>
      </c>
      <c r="I297" s="688"/>
      <c r="J297" s="205"/>
    </row>
    <row r="298" spans="1:11" x14ac:dyDescent="0.25">
      <c r="A298" s="21">
        <f>A$10</f>
        <v>1592</v>
      </c>
      <c r="B298" s="149">
        <f t="shared" si="125"/>
        <v>4.1884816753926704E-2</v>
      </c>
      <c r="C298" s="52">
        <f t="shared" si="126"/>
        <v>6</v>
      </c>
      <c r="D298" s="249">
        <f>'Appendix J-2'!AC8</f>
        <v>46</v>
      </c>
      <c r="E298" s="22">
        <f t="shared" si="123"/>
        <v>20.195652173913043</v>
      </c>
      <c r="F298" s="249">
        <f>'Appendix J-2'!AE8</f>
        <v>929</v>
      </c>
      <c r="G298" s="24">
        <f t="shared" si="124"/>
        <v>18.723089343379979</v>
      </c>
      <c r="H298" s="248">
        <f>'Appendix J-2'!AG8</f>
        <v>17393.75</v>
      </c>
      <c r="I298" s="688"/>
      <c r="J298" s="205"/>
    </row>
    <row r="299" spans="1:11" x14ac:dyDescent="0.25">
      <c r="A299" s="21">
        <f>A$11</f>
        <v>1642</v>
      </c>
      <c r="B299" s="149">
        <f t="shared" si="125"/>
        <v>3.1407035175879394E-2</v>
      </c>
      <c r="C299" s="20">
        <f t="shared" si="126"/>
        <v>7</v>
      </c>
      <c r="D299" s="249">
        <f>'Appendix J-2'!AH8</f>
        <v>6</v>
      </c>
      <c r="E299" s="22">
        <f t="shared" si="123"/>
        <v>52</v>
      </c>
      <c r="F299" s="249">
        <f>'Appendix J-2'!AJ8</f>
        <v>312</v>
      </c>
      <c r="G299" s="24">
        <f t="shared" si="124"/>
        <v>18.75</v>
      </c>
      <c r="H299" s="248">
        <f>'Appendix J-2'!AL8</f>
        <v>5850</v>
      </c>
      <c r="I299" s="688"/>
      <c r="J299" s="205"/>
    </row>
    <row r="300" spans="1:11" x14ac:dyDescent="0.25">
      <c r="A300" s="21">
        <f>A$12</f>
        <v>1675</v>
      </c>
      <c r="B300" s="149">
        <f t="shared" si="125"/>
        <v>2.0097442143727162E-2</v>
      </c>
      <c r="C300" s="20">
        <f t="shared" si="126"/>
        <v>8</v>
      </c>
      <c r="D300" s="249">
        <f>'Appendix J-2'!AM8</f>
        <v>3</v>
      </c>
      <c r="E300" s="22">
        <f t="shared" si="123"/>
        <v>22.666666666666668</v>
      </c>
      <c r="F300" s="249">
        <f>'Appendix J-2'!AO8</f>
        <v>68</v>
      </c>
      <c r="G300" s="24">
        <f t="shared" si="124"/>
        <v>18.75</v>
      </c>
      <c r="H300" s="248">
        <f>'Appendix J-2'!AQ8</f>
        <v>1275</v>
      </c>
      <c r="I300" s="688"/>
      <c r="J300" s="205"/>
    </row>
    <row r="301" spans="1:11" x14ac:dyDescent="0.25">
      <c r="A301" s="21">
        <f>A$13</f>
        <v>1739</v>
      </c>
      <c r="B301" s="149">
        <f t="shared" si="125"/>
        <v>3.8208955223880597E-2</v>
      </c>
      <c r="C301" s="20">
        <f t="shared" si="126"/>
        <v>9</v>
      </c>
      <c r="D301" s="249">
        <f>'Appendix J-2'!AR8</f>
        <v>7</v>
      </c>
      <c r="E301" s="22">
        <f t="shared" si="123"/>
        <v>19.428571428571427</v>
      </c>
      <c r="F301" s="249">
        <f>'Appendix J-2'!AT8</f>
        <v>136</v>
      </c>
      <c r="G301" s="24">
        <f t="shared" si="124"/>
        <v>19.05</v>
      </c>
      <c r="H301" s="248">
        <f>'Appendix J-2'!AV8</f>
        <v>2590.8000000000002</v>
      </c>
      <c r="I301" s="688"/>
      <c r="J301" s="205"/>
    </row>
    <row r="302" spans="1:11" x14ac:dyDescent="0.25">
      <c r="A302" s="21">
        <f>A$14</f>
        <v>1752</v>
      </c>
      <c r="B302" s="149">
        <f t="shared" si="125"/>
        <v>7.4755606670500289E-3</v>
      </c>
      <c r="C302" s="20">
        <f t="shared" si="126"/>
        <v>10</v>
      </c>
      <c r="D302" s="21">
        <f>ROUND((TREND($D$293:$D$301,$A$293:$A$301,A302)),0)</f>
        <v>17</v>
      </c>
      <c r="E302" s="22">
        <f>IF(TREND($E$293:$E$301,$A$293:$A$301,A302)&lt;400,TREND($E$293:$E$301,$A$293:$A$301,A302),400)</f>
        <v>31.790391421419368</v>
      </c>
      <c r="F302" s="21">
        <f>D302*E302</f>
        <v>540.43665416412921</v>
      </c>
      <c r="G302" s="24">
        <f>'DDS Rates for Amend'!F17</f>
        <v>19.18</v>
      </c>
      <c r="H302" s="33">
        <f>F302*G302</f>
        <v>10365.575026867999</v>
      </c>
      <c r="I302" s="688"/>
      <c r="J302" s="205"/>
    </row>
    <row r="303" spans="1:11" x14ac:dyDescent="0.25">
      <c r="A303" s="21">
        <f>A$15</f>
        <v>1822</v>
      </c>
      <c r="B303" s="149">
        <f t="shared" si="125"/>
        <v>3.9954337899543377E-2</v>
      </c>
      <c r="C303" s="20">
        <f t="shared" si="126"/>
        <v>11</v>
      </c>
      <c r="D303" s="21">
        <f t="shared" ref="D303:D307" si="127">ROUND((TREND($D$293:$D$301,$A$293:$A$301,A303)),0)</f>
        <v>18</v>
      </c>
      <c r="E303" s="22">
        <f t="shared" ref="E303:E307" si="128">IF(TREND($E$293:$E$301,$A$293:$A$301,A303)&lt;400,TREND($E$293:$E$301,$A$293:$A$301,A303),400)</f>
        <v>31.844415418719297</v>
      </c>
      <c r="F303" s="21">
        <f t="shared" ref="F303:F307" si="129">D303*E303</f>
        <v>573.19947753694737</v>
      </c>
      <c r="G303" s="24">
        <f>'DDS Rates for Amend'!F18</f>
        <v>19.67868</v>
      </c>
      <c r="H303" s="33">
        <f t="shared" ref="H303:H307" si="130">F303*G303</f>
        <v>11279.809094616776</v>
      </c>
      <c r="I303" s="688"/>
      <c r="J303" s="205"/>
    </row>
    <row r="304" spans="1:11" x14ac:dyDescent="0.25">
      <c r="A304" s="21">
        <f>A$16</f>
        <v>1872</v>
      </c>
      <c r="B304" s="149">
        <f t="shared" si="125"/>
        <v>2.7442371020856202E-2</v>
      </c>
      <c r="C304" s="20">
        <f t="shared" si="126"/>
        <v>12</v>
      </c>
      <c r="D304" s="21">
        <f t="shared" si="127"/>
        <v>19</v>
      </c>
      <c r="E304" s="22">
        <f t="shared" si="128"/>
        <v>31.883003988219244</v>
      </c>
      <c r="F304" s="21">
        <f t="shared" si="129"/>
        <v>605.77707577616559</v>
      </c>
      <c r="G304" s="24">
        <f>'DDS Rates for Amend'!F19</f>
        <v>20.190325680000001</v>
      </c>
      <c r="H304" s="33">
        <f t="shared" si="130"/>
        <v>12230.836449398823</v>
      </c>
      <c r="I304" s="688"/>
      <c r="J304" s="205"/>
    </row>
    <row r="305" spans="1:19" x14ac:dyDescent="0.25">
      <c r="A305" s="21">
        <f>A$17</f>
        <v>1902</v>
      </c>
      <c r="B305" s="149">
        <f t="shared" si="125"/>
        <v>1.6025641025641024E-2</v>
      </c>
      <c r="C305" s="20">
        <f t="shared" si="126"/>
        <v>13</v>
      </c>
      <c r="D305" s="21">
        <f t="shared" si="127"/>
        <v>20</v>
      </c>
      <c r="E305" s="22">
        <f t="shared" si="128"/>
        <v>31.906157129919212</v>
      </c>
      <c r="F305" s="21">
        <f t="shared" si="129"/>
        <v>638.12314259838422</v>
      </c>
      <c r="G305" s="24">
        <f>'DDS Rates for Amend'!F20</f>
        <v>20.715274147680002</v>
      </c>
      <c r="H305" s="33">
        <f t="shared" si="130"/>
        <v>13218.895838904627</v>
      </c>
      <c r="I305" s="688"/>
      <c r="J305" s="205"/>
    </row>
    <row r="306" spans="1:19" x14ac:dyDescent="0.25">
      <c r="A306" s="21">
        <f>A$18</f>
        <v>1932</v>
      </c>
      <c r="B306" s="149">
        <f t="shared" si="125"/>
        <v>1.5772870662460567E-2</v>
      </c>
      <c r="C306" s="20">
        <f t="shared" si="126"/>
        <v>14</v>
      </c>
      <c r="D306" s="21">
        <f t="shared" si="127"/>
        <v>20</v>
      </c>
      <c r="E306" s="22">
        <f t="shared" si="128"/>
        <v>31.92931027161918</v>
      </c>
      <c r="F306" s="21">
        <f t="shared" si="129"/>
        <v>638.58620543238362</v>
      </c>
      <c r="G306" s="24">
        <f>'DDS Rates for Amend'!F21</f>
        <v>21.253871275519682</v>
      </c>
      <c r="H306" s="33">
        <f t="shared" si="130"/>
        <v>13572.429008582449</v>
      </c>
      <c r="I306" s="688"/>
      <c r="J306" s="205"/>
    </row>
    <row r="307" spans="1:19" x14ac:dyDescent="0.25">
      <c r="A307" s="21">
        <f>A$19</f>
        <v>1962</v>
      </c>
      <c r="B307" s="149">
        <f t="shared" si="125"/>
        <v>1.5527950310559006E-2</v>
      </c>
      <c r="C307" s="20">
        <f t="shared" si="126"/>
        <v>15</v>
      </c>
      <c r="D307" s="21">
        <f t="shared" si="127"/>
        <v>21</v>
      </c>
      <c r="E307" s="22">
        <f t="shared" si="128"/>
        <v>31.952463413319148</v>
      </c>
      <c r="F307" s="21">
        <f t="shared" si="129"/>
        <v>671.00173167970206</v>
      </c>
      <c r="G307" s="24">
        <f>'DDS Rates for Amend'!F22</f>
        <v>21.806471928683195</v>
      </c>
      <c r="H307" s="33">
        <f t="shared" si="130"/>
        <v>14632.180425971235</v>
      </c>
      <c r="I307" s="689"/>
      <c r="J307" s="205"/>
      <c r="K307" s="285">
        <f>SUM(H293:H307)</f>
        <v>141032.2758443419</v>
      </c>
      <c r="L307" s="17">
        <f>IF(K307='Appendix J-2'!CD8,0,error)</f>
        <v>0</v>
      </c>
    </row>
    <row r="308" spans="1:19" x14ac:dyDescent="0.25">
      <c r="C308"/>
      <c r="I308" s="569"/>
      <c r="J308" s="72"/>
    </row>
    <row r="309" spans="1:19" x14ac:dyDescent="0.25">
      <c r="A309" s="271" t="s">
        <v>273</v>
      </c>
      <c r="B309" s="272"/>
      <c r="C309" s="272"/>
      <c r="D309" s="292" t="str">
        <f>'Appendix J-2'!B23</f>
        <v>Session</v>
      </c>
      <c r="E309" s="223" t="str">
        <f>'Appendix J-2'!C23</f>
        <v>45 minutes</v>
      </c>
      <c r="F309" s="693"/>
      <c r="G309" s="694"/>
      <c r="H309" s="695"/>
      <c r="I309" s="687" t="s">
        <v>556</v>
      </c>
      <c r="J309" s="205"/>
      <c r="N309" s="385" t="s">
        <v>555</v>
      </c>
      <c r="O309" s="386"/>
      <c r="P309" s="387"/>
      <c r="Q309" s="388"/>
      <c r="R309" s="389"/>
      <c r="S309" s="390"/>
    </row>
    <row r="310" spans="1:19" ht="30" x14ac:dyDescent="0.25">
      <c r="A310" s="147" t="s">
        <v>26</v>
      </c>
      <c r="B310" s="147" t="s">
        <v>27</v>
      </c>
      <c r="C310" s="51" t="s">
        <v>166</v>
      </c>
      <c r="D310" s="91" t="s">
        <v>154</v>
      </c>
      <c r="E310" s="89" t="s">
        <v>155</v>
      </c>
      <c r="F310" s="34" t="s">
        <v>158</v>
      </c>
      <c r="G310" s="35" t="s">
        <v>156</v>
      </c>
      <c r="H310" s="51" t="s">
        <v>157</v>
      </c>
      <c r="I310" s="688"/>
      <c r="J310" s="205"/>
      <c r="N310" s="146" t="s">
        <v>166</v>
      </c>
      <c r="O310" s="391" t="s">
        <v>154</v>
      </c>
      <c r="P310" s="392" t="s">
        <v>155</v>
      </c>
      <c r="Q310" s="393" t="s">
        <v>158</v>
      </c>
      <c r="R310" s="471" t="s">
        <v>156</v>
      </c>
      <c r="S310" s="471" t="s">
        <v>157</v>
      </c>
    </row>
    <row r="311" spans="1:19" ht="15" customHeight="1" x14ac:dyDescent="0.25">
      <c r="A311" s="21">
        <f>A$5</f>
        <v>1182</v>
      </c>
      <c r="B311" s="148"/>
      <c r="C311" s="144">
        <v>1</v>
      </c>
      <c r="D311" s="247">
        <f>'Appendix J-2'!D23</f>
        <v>0</v>
      </c>
      <c r="E311" s="22">
        <f>IF(F311=0,0,F311/D311)</f>
        <v>0</v>
      </c>
      <c r="F311" s="247">
        <f>'Appendix J-2'!F23</f>
        <v>0</v>
      </c>
      <c r="G311" s="252" t="e">
        <f>H311/F311</f>
        <v>#DIV/0!</v>
      </c>
      <c r="H311" s="250">
        <f>'Appendix J-2'!H23</f>
        <v>0</v>
      </c>
      <c r="I311" s="688"/>
      <c r="J311" s="205"/>
      <c r="N311" s="144">
        <v>1</v>
      </c>
      <c r="O311" s="247">
        <f>SUM(D311,D329,D342,D399)</f>
        <v>0</v>
      </c>
      <c r="P311" s="23">
        <f>IF(Q311=0,0,Q311/O311)</f>
        <v>0</v>
      </c>
      <c r="Q311" s="247">
        <f>SUM(F311,F329,F342,F399)</f>
        <v>0</v>
      </c>
      <c r="R311" s="472" t="e">
        <f>S311/Q311</f>
        <v>#DIV/0!</v>
      </c>
      <c r="S311" s="473">
        <f>SUM(H311,H329,H342,H399)</f>
        <v>0</v>
      </c>
    </row>
    <row r="312" spans="1:19" x14ac:dyDescent="0.25">
      <c r="A312" s="21">
        <f>A$6</f>
        <v>1288</v>
      </c>
      <c r="B312" s="149">
        <f>(A312-A311)/A311</f>
        <v>8.9678510998307953E-2</v>
      </c>
      <c r="C312" s="52">
        <v>2</v>
      </c>
      <c r="D312" s="247">
        <f>'Appendix J-2'!I23</f>
        <v>25</v>
      </c>
      <c r="E312" s="22">
        <f>IF(F312=0,0,F312/D312)</f>
        <v>62.56</v>
      </c>
      <c r="F312" s="247">
        <f>'Appendix J-2'!K23</f>
        <v>1564</v>
      </c>
      <c r="G312" s="252">
        <f t="shared" ref="G312:G319" si="131">H312/F312</f>
        <v>11.25</v>
      </c>
      <c r="H312" s="250">
        <f>'Appendix J-2'!M23</f>
        <v>17595</v>
      </c>
      <c r="I312" s="688"/>
      <c r="J312" s="205"/>
      <c r="N312" s="52">
        <v>2</v>
      </c>
      <c r="O312" s="247">
        <f t="shared" ref="O312:S325" si="132">SUM(D312,D330,D343,D400)</f>
        <v>37</v>
      </c>
      <c r="P312" s="23">
        <f>IF(Q312=0,0,Q312/O312)</f>
        <v>59.729729729729726</v>
      </c>
      <c r="Q312" s="247">
        <f t="shared" si="132"/>
        <v>2210</v>
      </c>
      <c r="R312" s="472">
        <f t="shared" ref="R312:R319" si="133">S312/Q312</f>
        <v>11.25</v>
      </c>
      <c r="S312" s="473">
        <f t="shared" si="132"/>
        <v>24862.5</v>
      </c>
    </row>
    <row r="313" spans="1:19" x14ac:dyDescent="0.25">
      <c r="A313" s="21">
        <f>A$7</f>
        <v>1495</v>
      </c>
      <c r="B313" s="149">
        <f t="shared" ref="B313:B325" si="134">(A313-A312)/A312</f>
        <v>0.16071428571428573</v>
      </c>
      <c r="C313" s="52">
        <v>3</v>
      </c>
      <c r="D313" s="247">
        <f>'Appendix J-2'!N23</f>
        <v>44</v>
      </c>
      <c r="E313" s="22">
        <f t="shared" ref="E313:E319" si="135">IF(F313=0,0,F313/D313)</f>
        <v>89.590909090909093</v>
      </c>
      <c r="F313" s="247">
        <f>'Appendix J-2'!P23</f>
        <v>3942</v>
      </c>
      <c r="G313" s="252">
        <f t="shared" si="131"/>
        <v>11.25</v>
      </c>
      <c r="H313" s="248">
        <f>'Appendix J-2'!R23</f>
        <v>44347.5</v>
      </c>
      <c r="I313" s="688"/>
      <c r="J313" s="205"/>
      <c r="N313" s="52">
        <v>3</v>
      </c>
      <c r="O313" s="247">
        <f t="shared" si="132"/>
        <v>71</v>
      </c>
      <c r="P313" s="23">
        <f t="shared" ref="P313:P319" si="136">IF(Q313=0,0,Q313/O313)</f>
        <v>84.056338028169009</v>
      </c>
      <c r="Q313" s="247">
        <f t="shared" si="132"/>
        <v>5968</v>
      </c>
      <c r="R313" s="472">
        <f t="shared" si="133"/>
        <v>11.25</v>
      </c>
      <c r="S313" s="473">
        <f t="shared" si="132"/>
        <v>67140</v>
      </c>
    </row>
    <row r="314" spans="1:19" x14ac:dyDescent="0.25">
      <c r="A314" s="21">
        <f>A$8</f>
        <v>1484</v>
      </c>
      <c r="B314" s="149">
        <f t="shared" si="134"/>
        <v>-7.3578595317725752E-3</v>
      </c>
      <c r="C314" s="52">
        <f t="shared" ref="C314:C325" si="137">C313+1</f>
        <v>4</v>
      </c>
      <c r="D314" s="247">
        <f>'Appendix J-2'!S23</f>
        <v>0</v>
      </c>
      <c r="E314" s="22">
        <f t="shared" si="135"/>
        <v>0</v>
      </c>
      <c r="F314" s="247">
        <f>'Appendix J-2'!U23</f>
        <v>0</v>
      </c>
      <c r="G314" s="252" t="e">
        <f t="shared" si="131"/>
        <v>#DIV/0!</v>
      </c>
      <c r="H314" s="248">
        <f>'Appendix J-2'!W23</f>
        <v>0</v>
      </c>
      <c r="I314" s="688"/>
      <c r="J314" s="205"/>
      <c r="N314" s="52">
        <f t="shared" ref="N314:N325" si="138">N313+1</f>
        <v>4</v>
      </c>
      <c r="O314" s="247">
        <f t="shared" si="132"/>
        <v>55</v>
      </c>
      <c r="P314" s="23">
        <f t="shared" si="136"/>
        <v>50.472727272727276</v>
      </c>
      <c r="Q314" s="247">
        <f t="shared" si="132"/>
        <v>2776</v>
      </c>
      <c r="R314" s="472">
        <f t="shared" si="133"/>
        <v>11.25</v>
      </c>
      <c r="S314" s="473">
        <f t="shared" si="132"/>
        <v>31230</v>
      </c>
    </row>
    <row r="315" spans="1:19" x14ac:dyDescent="0.25">
      <c r="A315" s="21">
        <f>A$9</f>
        <v>1528</v>
      </c>
      <c r="B315" s="149">
        <f t="shared" si="134"/>
        <v>2.9649595687331536E-2</v>
      </c>
      <c r="C315" s="52">
        <f t="shared" si="137"/>
        <v>5</v>
      </c>
      <c r="D315" s="247">
        <f>'Appendix J-2'!X23</f>
        <v>0</v>
      </c>
      <c r="E315" s="22">
        <f t="shared" si="135"/>
        <v>0</v>
      </c>
      <c r="F315" s="247">
        <f>'Appendix J-2'!Z23</f>
        <v>0</v>
      </c>
      <c r="G315" s="252" t="e">
        <f t="shared" si="131"/>
        <v>#DIV/0!</v>
      </c>
      <c r="H315" s="248">
        <f>'Appendix J-2'!AB23</f>
        <v>0</v>
      </c>
      <c r="I315" s="688"/>
      <c r="J315" s="205"/>
      <c r="N315" s="52">
        <f t="shared" si="138"/>
        <v>5</v>
      </c>
      <c r="O315" s="247">
        <f t="shared" si="132"/>
        <v>3</v>
      </c>
      <c r="P315" s="23">
        <f t="shared" si="136"/>
        <v>44.666666666666664</v>
      </c>
      <c r="Q315" s="247">
        <f t="shared" si="132"/>
        <v>134</v>
      </c>
      <c r="R315" s="472">
        <f t="shared" si="133"/>
        <v>11.25</v>
      </c>
      <c r="S315" s="473">
        <f t="shared" si="132"/>
        <v>1507.5</v>
      </c>
    </row>
    <row r="316" spans="1:19" x14ac:dyDescent="0.25">
      <c r="A316" s="21">
        <f>A$10</f>
        <v>1592</v>
      </c>
      <c r="B316" s="149">
        <f t="shared" si="134"/>
        <v>4.1884816753926704E-2</v>
      </c>
      <c r="C316" s="20">
        <f t="shared" si="137"/>
        <v>6</v>
      </c>
      <c r="D316" s="249">
        <f>'Appendix J-2'!AC23</f>
        <v>0</v>
      </c>
      <c r="E316" s="22">
        <f t="shared" si="135"/>
        <v>0</v>
      </c>
      <c r="F316" s="249">
        <f>'Appendix J-2'!AE23</f>
        <v>0</v>
      </c>
      <c r="G316" s="252" t="e">
        <f t="shared" si="131"/>
        <v>#DIV/0!</v>
      </c>
      <c r="H316" s="248">
        <f>'Appendix J-2'!AG23</f>
        <v>0</v>
      </c>
      <c r="I316" s="688"/>
      <c r="J316" s="205"/>
      <c r="N316" s="52">
        <f t="shared" si="138"/>
        <v>6</v>
      </c>
      <c r="O316" s="247">
        <f t="shared" si="132"/>
        <v>23</v>
      </c>
      <c r="P316" s="23">
        <f t="shared" si="136"/>
        <v>78.695652173913047</v>
      </c>
      <c r="Q316" s="247">
        <f t="shared" si="132"/>
        <v>1810</v>
      </c>
      <c r="R316" s="472">
        <f t="shared" si="133"/>
        <v>11.25</v>
      </c>
      <c r="S316" s="473">
        <f t="shared" si="132"/>
        <v>20362.5</v>
      </c>
    </row>
    <row r="317" spans="1:19" x14ac:dyDescent="0.25">
      <c r="A317" s="21">
        <f>A$11</f>
        <v>1642</v>
      </c>
      <c r="B317" s="149">
        <f t="shared" si="134"/>
        <v>3.1407035175879394E-2</v>
      </c>
      <c r="C317" s="20">
        <f t="shared" si="137"/>
        <v>7</v>
      </c>
      <c r="D317" s="249">
        <f>'Appendix J-2'!AH23</f>
        <v>0</v>
      </c>
      <c r="E317" s="22">
        <f t="shared" si="135"/>
        <v>0</v>
      </c>
      <c r="F317" s="249">
        <f>'Appendix J-2'!AJ23</f>
        <v>0</v>
      </c>
      <c r="G317" s="252" t="e">
        <f t="shared" si="131"/>
        <v>#DIV/0!</v>
      </c>
      <c r="H317" s="248">
        <f>'Appendix J-2'!AL23</f>
        <v>0</v>
      </c>
      <c r="I317" s="688"/>
      <c r="J317" s="205"/>
      <c r="N317" s="52">
        <f t="shared" si="138"/>
        <v>7</v>
      </c>
      <c r="O317" s="247">
        <f t="shared" si="132"/>
        <v>47</v>
      </c>
      <c r="P317" s="23">
        <f t="shared" si="136"/>
        <v>107.95744680851064</v>
      </c>
      <c r="Q317" s="247">
        <f t="shared" si="132"/>
        <v>5074</v>
      </c>
      <c r="R317" s="472">
        <f t="shared" si="133"/>
        <v>11.209992116673236</v>
      </c>
      <c r="S317" s="473">
        <f t="shared" si="132"/>
        <v>56879.5</v>
      </c>
    </row>
    <row r="318" spans="1:19" x14ac:dyDescent="0.25">
      <c r="A318" s="21">
        <f>A$12</f>
        <v>1675</v>
      </c>
      <c r="B318" s="149">
        <f t="shared" si="134"/>
        <v>2.0097442143727162E-2</v>
      </c>
      <c r="C318" s="20">
        <f t="shared" si="137"/>
        <v>8</v>
      </c>
      <c r="D318" s="249">
        <f>'Appendix J-2'!AM23</f>
        <v>0</v>
      </c>
      <c r="E318" s="22">
        <f t="shared" si="135"/>
        <v>0</v>
      </c>
      <c r="F318" s="249">
        <f>'Appendix J-2'!AO23</f>
        <v>0</v>
      </c>
      <c r="G318" s="252" t="e">
        <f t="shared" si="131"/>
        <v>#DIV/0!</v>
      </c>
      <c r="H318" s="248">
        <f>'Appendix J-2'!AQ23</f>
        <v>0</v>
      </c>
      <c r="I318" s="688"/>
      <c r="J318" s="205"/>
      <c r="N318" s="52">
        <f t="shared" si="138"/>
        <v>8</v>
      </c>
      <c r="O318" s="247">
        <f t="shared" si="132"/>
        <v>26</v>
      </c>
      <c r="P318" s="23">
        <f t="shared" si="136"/>
        <v>193.84615384615384</v>
      </c>
      <c r="Q318" s="247">
        <f t="shared" si="132"/>
        <v>5040</v>
      </c>
      <c r="R318" s="472">
        <f t="shared" si="133"/>
        <v>11.241037698412699</v>
      </c>
      <c r="S318" s="473">
        <f t="shared" si="132"/>
        <v>56654.83</v>
      </c>
    </row>
    <row r="319" spans="1:19" x14ac:dyDescent="0.25">
      <c r="A319" s="21">
        <f>A$13</f>
        <v>1739</v>
      </c>
      <c r="B319" s="149">
        <f t="shared" si="134"/>
        <v>3.8208955223880597E-2</v>
      </c>
      <c r="C319" s="20">
        <f t="shared" si="137"/>
        <v>9</v>
      </c>
      <c r="D319" s="249">
        <f>'Appendix J-2'!AR23</f>
        <v>0</v>
      </c>
      <c r="E319" s="22">
        <f t="shared" si="135"/>
        <v>0</v>
      </c>
      <c r="F319" s="249">
        <f>'Appendix J-2'!AT23</f>
        <v>0</v>
      </c>
      <c r="G319" s="252" t="e">
        <f t="shared" si="131"/>
        <v>#DIV/0!</v>
      </c>
      <c r="H319" s="248">
        <f>'Appendix J-2'!AV23</f>
        <v>0</v>
      </c>
      <c r="I319" s="688"/>
      <c r="J319" s="205"/>
      <c r="N319" s="52">
        <f t="shared" si="138"/>
        <v>9</v>
      </c>
      <c r="O319" s="247">
        <f t="shared" si="132"/>
        <v>29</v>
      </c>
      <c r="P319" s="23">
        <f t="shared" si="136"/>
        <v>57.482758620689658</v>
      </c>
      <c r="Q319" s="247">
        <f t="shared" si="132"/>
        <v>1667</v>
      </c>
      <c r="R319" s="472">
        <f t="shared" si="133"/>
        <v>23.408206358728258</v>
      </c>
      <c r="S319" s="473">
        <f t="shared" si="132"/>
        <v>39021.480000000003</v>
      </c>
    </row>
    <row r="320" spans="1:19" x14ac:dyDescent="0.25">
      <c r="A320" s="21">
        <f>A$14</f>
        <v>1752</v>
      </c>
      <c r="B320" s="149">
        <f t="shared" si="134"/>
        <v>7.4755606670500289E-3</v>
      </c>
      <c r="C320" s="20">
        <f t="shared" si="137"/>
        <v>10</v>
      </c>
      <c r="D320" s="21">
        <f>O320</f>
        <v>39</v>
      </c>
      <c r="E320" s="22">
        <f>P320</f>
        <v>134</v>
      </c>
      <c r="F320" s="21">
        <f>D320*E320</f>
        <v>5226</v>
      </c>
      <c r="G320" s="24">
        <f>'DDS Rates for Amend'!R17</f>
        <v>75.77</v>
      </c>
      <c r="H320" s="33">
        <f>F320*G320</f>
        <v>395974.01999999996</v>
      </c>
      <c r="I320" s="688"/>
      <c r="J320" s="205"/>
      <c r="N320" s="52">
        <f t="shared" si="138"/>
        <v>10</v>
      </c>
      <c r="O320" s="80">
        <f>ROUND(TREND($O$311:$O$319,$A$311:$A$319,A320),0)</f>
        <v>39</v>
      </c>
      <c r="P320" s="80">
        <f>ROUND(TREND($P$311:$P$319,$C$311:$C$319,C320),0)</f>
        <v>134</v>
      </c>
      <c r="Q320" s="21">
        <f>O320*P320</f>
        <v>5226</v>
      </c>
      <c r="R320" s="474">
        <f t="shared" ref="R320:R325" si="139">G320</f>
        <v>75.77</v>
      </c>
      <c r="S320" s="472">
        <f t="shared" si="132"/>
        <v>395974.01999999996</v>
      </c>
    </row>
    <row r="321" spans="1:19" x14ac:dyDescent="0.25">
      <c r="A321" s="21">
        <f>A$15</f>
        <v>1822</v>
      </c>
      <c r="B321" s="149">
        <f t="shared" si="134"/>
        <v>3.9954337899543377E-2</v>
      </c>
      <c r="C321" s="20">
        <f t="shared" si="137"/>
        <v>11</v>
      </c>
      <c r="D321" s="21">
        <f t="shared" ref="D321:D325" si="140">O321</f>
        <v>41</v>
      </c>
      <c r="E321" s="22">
        <f t="shared" ref="E321:E325" si="141">P321</f>
        <v>146</v>
      </c>
      <c r="F321" s="21">
        <f t="shared" ref="F321:F325" si="142">D321*E321</f>
        <v>5986</v>
      </c>
      <c r="G321" s="24">
        <f>'DDS Rates for Amend'!R18</f>
        <v>77.740020000000001</v>
      </c>
      <c r="H321" s="33">
        <f t="shared" ref="H321:H325" si="143">F321*G321</f>
        <v>465351.75972000003</v>
      </c>
      <c r="I321" s="688"/>
      <c r="J321" s="205"/>
      <c r="N321" s="52">
        <f t="shared" si="138"/>
        <v>11</v>
      </c>
      <c r="O321" s="80">
        <f t="shared" ref="O321:O325" si="144">ROUND(TREND($O$311:$O$319,$A$311:$A$319,A321),0)</f>
        <v>41</v>
      </c>
      <c r="P321" s="80">
        <f t="shared" ref="P321:P325" si="145">ROUND(TREND($P$311:$P$319,$C$311:$C$319,C321),0)</f>
        <v>146</v>
      </c>
      <c r="Q321" s="21">
        <f t="shared" ref="Q321:Q325" si="146">O321*P321</f>
        <v>5986</v>
      </c>
      <c r="R321" s="474">
        <f t="shared" si="139"/>
        <v>77.740020000000001</v>
      </c>
      <c r="S321" s="472">
        <f t="shared" si="132"/>
        <v>465351.75972000003</v>
      </c>
    </row>
    <row r="322" spans="1:19" x14ac:dyDescent="0.25">
      <c r="A322" s="21">
        <f>A$16</f>
        <v>1872</v>
      </c>
      <c r="B322" s="149">
        <f t="shared" si="134"/>
        <v>2.7442371020856202E-2</v>
      </c>
      <c r="C322" s="20">
        <f t="shared" si="137"/>
        <v>12</v>
      </c>
      <c r="D322" s="21">
        <f t="shared" si="140"/>
        <v>42</v>
      </c>
      <c r="E322" s="22">
        <f t="shared" si="141"/>
        <v>158</v>
      </c>
      <c r="F322" s="21">
        <f t="shared" si="142"/>
        <v>6636</v>
      </c>
      <c r="G322" s="24">
        <f>'DDS Rates for Amend'!R19</f>
        <v>79.761260520000008</v>
      </c>
      <c r="H322" s="33">
        <f t="shared" si="143"/>
        <v>529295.72481072007</v>
      </c>
      <c r="I322" s="688"/>
      <c r="J322" s="205"/>
      <c r="N322" s="52">
        <f t="shared" si="138"/>
        <v>12</v>
      </c>
      <c r="O322" s="80">
        <f t="shared" si="144"/>
        <v>42</v>
      </c>
      <c r="P322" s="80">
        <f t="shared" si="145"/>
        <v>158</v>
      </c>
      <c r="Q322" s="21">
        <f t="shared" si="146"/>
        <v>6636</v>
      </c>
      <c r="R322" s="474">
        <f t="shared" si="139"/>
        <v>79.761260520000008</v>
      </c>
      <c r="S322" s="472">
        <f t="shared" si="132"/>
        <v>529295.72481072007</v>
      </c>
    </row>
    <row r="323" spans="1:19" x14ac:dyDescent="0.25">
      <c r="A323" s="21">
        <f>A$17</f>
        <v>1902</v>
      </c>
      <c r="B323" s="149">
        <f t="shared" si="134"/>
        <v>1.6025641025641024E-2</v>
      </c>
      <c r="C323" s="20">
        <f t="shared" si="137"/>
        <v>13</v>
      </c>
      <c r="D323" s="21">
        <f t="shared" si="140"/>
        <v>43</v>
      </c>
      <c r="E323" s="22">
        <f t="shared" si="141"/>
        <v>170</v>
      </c>
      <c r="F323" s="21">
        <f t="shared" si="142"/>
        <v>7310</v>
      </c>
      <c r="G323" s="24">
        <f>'DDS Rates for Amend'!R20</f>
        <v>81.835053293520005</v>
      </c>
      <c r="H323" s="33">
        <f t="shared" si="143"/>
        <v>598214.23957563122</v>
      </c>
      <c r="I323" s="688"/>
      <c r="J323" s="205"/>
      <c r="N323" s="52">
        <f t="shared" si="138"/>
        <v>13</v>
      </c>
      <c r="O323" s="80">
        <f t="shared" si="144"/>
        <v>43</v>
      </c>
      <c r="P323" s="80">
        <f t="shared" si="145"/>
        <v>170</v>
      </c>
      <c r="Q323" s="21">
        <f t="shared" si="146"/>
        <v>7310</v>
      </c>
      <c r="R323" s="474">
        <f t="shared" si="139"/>
        <v>81.835053293520005</v>
      </c>
      <c r="S323" s="472">
        <f t="shared" si="132"/>
        <v>598214.23957563122</v>
      </c>
    </row>
    <row r="324" spans="1:19" x14ac:dyDescent="0.25">
      <c r="A324" s="21">
        <f>A$18</f>
        <v>1932</v>
      </c>
      <c r="B324" s="149">
        <f t="shared" si="134"/>
        <v>1.5772870662460567E-2</v>
      </c>
      <c r="C324" s="20">
        <f t="shared" si="137"/>
        <v>14</v>
      </c>
      <c r="D324" s="21">
        <f t="shared" si="140"/>
        <v>44</v>
      </c>
      <c r="E324" s="22">
        <f t="shared" si="141"/>
        <v>181</v>
      </c>
      <c r="F324" s="21">
        <f t="shared" si="142"/>
        <v>7964</v>
      </c>
      <c r="G324" s="24">
        <f>'DDS Rates for Amend'!R21</f>
        <v>83.962764679151519</v>
      </c>
      <c r="H324" s="33">
        <f t="shared" si="143"/>
        <v>668679.4579047627</v>
      </c>
      <c r="I324" s="688"/>
      <c r="J324" s="205"/>
      <c r="N324" s="52">
        <f t="shared" si="138"/>
        <v>14</v>
      </c>
      <c r="O324" s="80">
        <f t="shared" si="144"/>
        <v>44</v>
      </c>
      <c r="P324" s="80">
        <f t="shared" si="145"/>
        <v>181</v>
      </c>
      <c r="Q324" s="21">
        <f t="shared" si="146"/>
        <v>7964</v>
      </c>
      <c r="R324" s="474">
        <f t="shared" si="139"/>
        <v>83.962764679151519</v>
      </c>
      <c r="S324" s="472">
        <f t="shared" si="132"/>
        <v>734459.4579047627</v>
      </c>
    </row>
    <row r="325" spans="1:19" x14ac:dyDescent="0.25">
      <c r="A325" s="21">
        <f>A$19</f>
        <v>1962</v>
      </c>
      <c r="B325" s="149">
        <f t="shared" si="134"/>
        <v>1.5527950310559006E-2</v>
      </c>
      <c r="C325" s="20">
        <f t="shared" si="137"/>
        <v>15</v>
      </c>
      <c r="D325" s="21">
        <f t="shared" si="140"/>
        <v>45</v>
      </c>
      <c r="E325" s="22">
        <f t="shared" si="141"/>
        <v>193</v>
      </c>
      <c r="F325" s="21">
        <f t="shared" si="142"/>
        <v>8685</v>
      </c>
      <c r="G325" s="24">
        <f>'DDS Rates for Amend'!R22</f>
        <v>86.145796560809458</v>
      </c>
      <c r="H325" s="33">
        <f t="shared" si="143"/>
        <v>748176.24313063012</v>
      </c>
      <c r="I325" s="689"/>
      <c r="J325" s="205"/>
      <c r="K325" s="285">
        <f>SUM(H311:H325)</f>
        <v>3467633.9451417439</v>
      </c>
      <c r="L325" s="17">
        <f>IF(K325='Appendix J-2'!CD23,0,error)</f>
        <v>0</v>
      </c>
      <c r="N325" s="52">
        <f t="shared" si="138"/>
        <v>15</v>
      </c>
      <c r="O325" s="80">
        <f t="shared" si="144"/>
        <v>45</v>
      </c>
      <c r="P325" s="80">
        <f t="shared" si="145"/>
        <v>193</v>
      </c>
      <c r="Q325" s="21">
        <f t="shared" si="146"/>
        <v>8685</v>
      </c>
      <c r="R325" s="474">
        <f t="shared" si="139"/>
        <v>86.145796560809458</v>
      </c>
      <c r="S325" s="472">
        <f t="shared" si="132"/>
        <v>874707.13313063013</v>
      </c>
    </row>
    <row r="326" spans="1:19" x14ac:dyDescent="0.25">
      <c r="C326"/>
      <c r="I326" s="569"/>
      <c r="J326" s="72"/>
    </row>
    <row r="327" spans="1:19" x14ac:dyDescent="0.25">
      <c r="A327" s="696" t="s">
        <v>146</v>
      </c>
      <c r="B327" s="697"/>
      <c r="C327" s="697"/>
      <c r="D327" s="698"/>
      <c r="E327" s="224"/>
      <c r="F327" s="699"/>
      <c r="G327" s="699"/>
      <c r="H327" s="699"/>
      <c r="I327" s="705" t="s">
        <v>279</v>
      </c>
      <c r="J327" s="205"/>
    </row>
    <row r="328" spans="1:19" x14ac:dyDescent="0.25">
      <c r="A328" s="151" t="s">
        <v>26</v>
      </c>
      <c r="B328" s="151" t="s">
        <v>27</v>
      </c>
      <c r="C328" s="150" t="s">
        <v>166</v>
      </c>
      <c r="D328" s="260" t="s">
        <v>154</v>
      </c>
      <c r="E328" s="261" t="s">
        <v>155</v>
      </c>
      <c r="F328" s="262" t="s">
        <v>158</v>
      </c>
      <c r="G328" s="239" t="s">
        <v>156</v>
      </c>
      <c r="H328" s="239" t="s">
        <v>157</v>
      </c>
      <c r="I328" s="706"/>
      <c r="J328" s="203"/>
    </row>
    <row r="329" spans="1:19" ht="15" customHeight="1" x14ac:dyDescent="0.25">
      <c r="A329" s="148">
        <f>A$5</f>
        <v>1182</v>
      </c>
      <c r="B329" s="148"/>
      <c r="C329" s="137">
        <v>1</v>
      </c>
      <c r="D329" s="215">
        <f>'linked - DO NOT USE or DELETE'!D23</f>
        <v>0</v>
      </c>
      <c r="E329" s="138">
        <f t="shared" ref="E329:E338" si="147">IF(F329=0,0,F329/D329)</f>
        <v>0</v>
      </c>
      <c r="F329" s="215">
        <f>'linked - DO NOT USE or DELETE'!F23</f>
        <v>0</v>
      </c>
      <c r="G329" s="258" t="e">
        <f t="shared" ref="G329:G338" si="148">H329/F329</f>
        <v>#DIV/0!</v>
      </c>
      <c r="H329" s="216">
        <f>'linked - DO NOT USE or DELETE'!H23</f>
        <v>0</v>
      </c>
      <c r="I329" s="706"/>
      <c r="J329" s="200"/>
    </row>
    <row r="330" spans="1:19" x14ac:dyDescent="0.25">
      <c r="A330" s="148">
        <f>A$6</f>
        <v>1288</v>
      </c>
      <c r="B330" s="152">
        <f>(A330-A329)/A329</f>
        <v>8.9678510998307953E-2</v>
      </c>
      <c r="C330" s="140">
        <v>2</v>
      </c>
      <c r="D330" s="215">
        <f>'linked - DO NOT USE or DELETE'!I23</f>
        <v>0</v>
      </c>
      <c r="E330" s="138">
        <f t="shared" si="147"/>
        <v>0</v>
      </c>
      <c r="F330" s="215">
        <f>'linked - DO NOT USE or DELETE'!K23</f>
        <v>0</v>
      </c>
      <c r="G330" s="258" t="e">
        <f t="shared" si="148"/>
        <v>#DIV/0!</v>
      </c>
      <c r="H330" s="216">
        <f>'linked - DO NOT USE or DELETE'!M23</f>
        <v>0</v>
      </c>
      <c r="I330" s="706"/>
      <c r="J330" s="200"/>
    </row>
    <row r="331" spans="1:19" x14ac:dyDescent="0.25">
      <c r="A331" s="148">
        <f>A$7</f>
        <v>1495</v>
      </c>
      <c r="B331" s="152">
        <f t="shared" ref="B331:B338" si="149">(A331-A330)/A330</f>
        <v>0.16071428571428573</v>
      </c>
      <c r="C331" s="140">
        <v>3</v>
      </c>
      <c r="D331" s="215">
        <f>'linked - DO NOT USE or DELETE'!N23</f>
        <v>0</v>
      </c>
      <c r="E331" s="138">
        <f t="shared" si="147"/>
        <v>0</v>
      </c>
      <c r="F331" s="215">
        <f>'linked - DO NOT USE or DELETE'!P23</f>
        <v>0</v>
      </c>
      <c r="G331" s="258" t="e">
        <f t="shared" si="148"/>
        <v>#DIV/0!</v>
      </c>
      <c r="H331" s="141">
        <f>'linked - DO NOT USE or DELETE'!R23</f>
        <v>0</v>
      </c>
      <c r="I331" s="706"/>
      <c r="J331" s="201"/>
    </row>
    <row r="332" spans="1:19" x14ac:dyDescent="0.25">
      <c r="A332" s="148">
        <f>A$8</f>
        <v>1484</v>
      </c>
      <c r="B332" s="152">
        <f t="shared" si="149"/>
        <v>-7.3578595317725752E-3</v>
      </c>
      <c r="C332" s="140">
        <f t="shared" ref="C332:C338" si="150">C331+1</f>
        <v>4</v>
      </c>
      <c r="D332" s="215">
        <f>'linked - DO NOT USE or DELETE'!S23</f>
        <v>0</v>
      </c>
      <c r="E332" s="138">
        <f t="shared" si="147"/>
        <v>0</v>
      </c>
      <c r="F332" s="215">
        <v>0</v>
      </c>
      <c r="G332" s="258" t="e">
        <f t="shared" si="148"/>
        <v>#DIV/0!</v>
      </c>
      <c r="H332" s="141">
        <f>'linked - DO NOT USE or DELETE'!W23</f>
        <v>0</v>
      </c>
      <c r="I332" s="706"/>
      <c r="J332" s="201"/>
    </row>
    <row r="333" spans="1:19" x14ac:dyDescent="0.25">
      <c r="A333" s="148">
        <f>A$9</f>
        <v>1528</v>
      </c>
      <c r="B333" s="152">
        <f t="shared" si="149"/>
        <v>2.9649595687331536E-2</v>
      </c>
      <c r="C333" s="140">
        <f t="shared" si="150"/>
        <v>5</v>
      </c>
      <c r="D333" s="215">
        <f>'linked - DO NOT USE or DELETE'!X23</f>
        <v>0</v>
      </c>
      <c r="E333" s="138">
        <f t="shared" si="147"/>
        <v>0</v>
      </c>
      <c r="F333" s="215">
        <v>0</v>
      </c>
      <c r="G333" s="258" t="e">
        <f t="shared" si="148"/>
        <v>#DIV/0!</v>
      </c>
      <c r="H333" s="141">
        <f>'linked - DO NOT USE or DELETE'!AB23</f>
        <v>0</v>
      </c>
      <c r="I333" s="706"/>
      <c r="J333" s="201"/>
    </row>
    <row r="334" spans="1:19" x14ac:dyDescent="0.25">
      <c r="A334" s="148">
        <f>A$10</f>
        <v>1592</v>
      </c>
      <c r="B334" s="152">
        <f t="shared" si="149"/>
        <v>4.1884816753926704E-2</v>
      </c>
      <c r="C334" s="140">
        <f t="shared" si="150"/>
        <v>6</v>
      </c>
      <c r="D334" s="148">
        <v>0</v>
      </c>
      <c r="E334" s="138">
        <f t="shared" si="147"/>
        <v>0</v>
      </c>
      <c r="F334" s="148">
        <v>0</v>
      </c>
      <c r="G334" s="258" t="e">
        <f t="shared" si="148"/>
        <v>#DIV/0!</v>
      </c>
      <c r="H334" s="141">
        <v>0</v>
      </c>
      <c r="I334" s="706"/>
      <c r="J334" s="204"/>
    </row>
    <row r="335" spans="1:19" x14ac:dyDescent="0.25">
      <c r="A335" s="148">
        <f>A$11</f>
        <v>1642</v>
      </c>
      <c r="B335" s="152">
        <f t="shared" si="149"/>
        <v>3.1407035175879394E-2</v>
      </c>
      <c r="C335" s="140">
        <f t="shared" si="150"/>
        <v>7</v>
      </c>
      <c r="D335" s="148">
        <v>0</v>
      </c>
      <c r="E335" s="138">
        <f t="shared" si="147"/>
        <v>0</v>
      </c>
      <c r="F335" s="148">
        <v>0</v>
      </c>
      <c r="G335" s="258" t="e">
        <f t="shared" si="148"/>
        <v>#DIV/0!</v>
      </c>
      <c r="H335" s="141">
        <v>0</v>
      </c>
      <c r="I335" s="706"/>
      <c r="J335" s="204"/>
    </row>
    <row r="336" spans="1:19" x14ac:dyDescent="0.25">
      <c r="A336" s="148">
        <f>A$12</f>
        <v>1675</v>
      </c>
      <c r="B336" s="152">
        <f t="shared" si="149"/>
        <v>2.0097442143727162E-2</v>
      </c>
      <c r="C336" s="140">
        <f t="shared" si="150"/>
        <v>8</v>
      </c>
      <c r="D336" s="148">
        <v>0</v>
      </c>
      <c r="E336" s="138">
        <f t="shared" si="147"/>
        <v>0</v>
      </c>
      <c r="F336" s="148">
        <v>0</v>
      </c>
      <c r="G336" s="258" t="e">
        <f t="shared" si="148"/>
        <v>#DIV/0!</v>
      </c>
      <c r="H336" s="141">
        <v>0</v>
      </c>
      <c r="I336" s="706"/>
      <c r="J336" s="204"/>
    </row>
    <row r="337" spans="1:12" x14ac:dyDescent="0.25">
      <c r="A337" s="148">
        <f>A$13</f>
        <v>1739</v>
      </c>
      <c r="B337" s="152">
        <f t="shared" si="149"/>
        <v>3.8208955223880597E-2</v>
      </c>
      <c r="C337" s="140">
        <f t="shared" si="150"/>
        <v>9</v>
      </c>
      <c r="D337" s="148">
        <v>0</v>
      </c>
      <c r="E337" s="138">
        <f t="shared" si="147"/>
        <v>0</v>
      </c>
      <c r="F337" s="148">
        <v>0</v>
      </c>
      <c r="G337" s="258" t="e">
        <f t="shared" si="148"/>
        <v>#DIV/0!</v>
      </c>
      <c r="H337" s="141">
        <v>0</v>
      </c>
      <c r="I337" s="706"/>
      <c r="J337" s="204"/>
    </row>
    <row r="338" spans="1:12" x14ac:dyDescent="0.25">
      <c r="A338" s="148">
        <f>A$14</f>
        <v>1752</v>
      </c>
      <c r="B338" s="152">
        <f t="shared" si="149"/>
        <v>7.4755606670500289E-3</v>
      </c>
      <c r="C338" s="140">
        <f t="shared" si="150"/>
        <v>10</v>
      </c>
      <c r="D338" s="148">
        <v>0</v>
      </c>
      <c r="E338" s="138">
        <f t="shared" si="147"/>
        <v>0</v>
      </c>
      <c r="F338" s="148">
        <v>0</v>
      </c>
      <c r="G338" s="258" t="e">
        <f t="shared" si="148"/>
        <v>#DIV/0!</v>
      </c>
      <c r="H338" s="141">
        <v>0</v>
      </c>
      <c r="I338" s="707"/>
      <c r="J338" s="204"/>
      <c r="K338" s="285">
        <f>SUM(H329:H338)</f>
        <v>0</v>
      </c>
    </row>
    <row r="339" spans="1:12" x14ac:dyDescent="0.25">
      <c r="C339"/>
      <c r="I339" s="569"/>
      <c r="J339" s="72"/>
    </row>
    <row r="340" spans="1:12" x14ac:dyDescent="0.25">
      <c r="A340" s="696" t="s">
        <v>147</v>
      </c>
      <c r="B340" s="697"/>
      <c r="C340" s="697"/>
      <c r="D340" s="698"/>
      <c r="E340" s="224"/>
      <c r="F340" s="699"/>
      <c r="G340" s="699"/>
      <c r="H340" s="699"/>
      <c r="I340" s="705" t="s">
        <v>279</v>
      </c>
      <c r="J340" s="205"/>
    </row>
    <row r="341" spans="1:12" x14ac:dyDescent="0.25">
      <c r="A341" s="151" t="s">
        <v>26</v>
      </c>
      <c r="B341" s="151" t="s">
        <v>27</v>
      </c>
      <c r="C341" s="150" t="s">
        <v>166</v>
      </c>
      <c r="D341" s="260" t="s">
        <v>154</v>
      </c>
      <c r="E341" s="261" t="s">
        <v>155</v>
      </c>
      <c r="F341" s="262" t="s">
        <v>158</v>
      </c>
      <c r="G341" s="239" t="s">
        <v>156</v>
      </c>
      <c r="H341" s="239" t="s">
        <v>157</v>
      </c>
      <c r="I341" s="706"/>
      <c r="J341" s="203"/>
    </row>
    <row r="342" spans="1:12" ht="15" customHeight="1" x14ac:dyDescent="0.25">
      <c r="A342" s="148">
        <f>A$5</f>
        <v>1182</v>
      </c>
      <c r="B342" s="148"/>
      <c r="C342" s="137">
        <v>1</v>
      </c>
      <c r="D342" s="215">
        <f>'Appendix J-2'!D113</f>
        <v>0</v>
      </c>
      <c r="E342" s="138">
        <f>IF(F342=0,0,F342/D342)</f>
        <v>0</v>
      </c>
      <c r="F342" s="215">
        <f>'Appendix J-2'!F113</f>
        <v>0</v>
      </c>
      <c r="G342" s="258" t="e">
        <f>H342/F342</f>
        <v>#DIV/0!</v>
      </c>
      <c r="H342" s="216">
        <f>'Appendix J-2'!H113</f>
        <v>0</v>
      </c>
      <c r="I342" s="706"/>
      <c r="J342" s="200"/>
    </row>
    <row r="343" spans="1:12" x14ac:dyDescent="0.25">
      <c r="A343" s="148">
        <f>A$6</f>
        <v>1288</v>
      </c>
      <c r="B343" s="152">
        <f>(A343-A342)/A342</f>
        <v>8.9678510998307953E-2</v>
      </c>
      <c r="C343" s="140">
        <v>2</v>
      </c>
      <c r="D343" s="215">
        <f>'Appendix J-2'!I113</f>
        <v>0</v>
      </c>
      <c r="E343" s="138">
        <f t="shared" ref="E343:E351" si="151">IF(F343=0,0,F343/D343)</f>
        <v>0</v>
      </c>
      <c r="F343" s="215">
        <f>'Appendix J-2'!K113</f>
        <v>0</v>
      </c>
      <c r="G343" s="258" t="e">
        <f t="shared" ref="G343:G351" si="152">H343/F343</f>
        <v>#DIV/0!</v>
      </c>
      <c r="H343" s="216">
        <f>'Appendix J-2'!M113</f>
        <v>0</v>
      </c>
      <c r="I343" s="706"/>
      <c r="J343" s="200"/>
    </row>
    <row r="344" spans="1:12" x14ac:dyDescent="0.25">
      <c r="A344" s="148">
        <f>A$7</f>
        <v>1495</v>
      </c>
      <c r="B344" s="152">
        <f t="shared" ref="B344:B351" si="153">(A344-A343)/A343</f>
        <v>0.16071428571428573</v>
      </c>
      <c r="C344" s="140">
        <v>3</v>
      </c>
      <c r="D344" s="215">
        <f>'Appendix J-2'!N113</f>
        <v>0</v>
      </c>
      <c r="E344" s="138">
        <f t="shared" si="151"/>
        <v>0</v>
      </c>
      <c r="F344" s="215">
        <f>'Appendix J-2'!P113</f>
        <v>0</v>
      </c>
      <c r="G344" s="258" t="e">
        <f t="shared" si="152"/>
        <v>#DIV/0!</v>
      </c>
      <c r="H344" s="141">
        <f>'Appendix J-2'!R113</f>
        <v>0</v>
      </c>
      <c r="I344" s="706"/>
      <c r="J344" s="201"/>
    </row>
    <row r="345" spans="1:12" x14ac:dyDescent="0.25">
      <c r="A345" s="148">
        <f>A$8</f>
        <v>1484</v>
      </c>
      <c r="B345" s="152">
        <f t="shared" si="153"/>
        <v>-7.3578595317725752E-3</v>
      </c>
      <c r="C345" s="140">
        <f t="shared" ref="C345:C351" si="154">C344+1</f>
        <v>4</v>
      </c>
      <c r="D345" s="215">
        <f>'Appendix J-2'!S113</f>
        <v>1</v>
      </c>
      <c r="E345" s="138">
        <f t="shared" si="151"/>
        <v>24</v>
      </c>
      <c r="F345" s="215">
        <f>'Appendix J-2'!U113</f>
        <v>24</v>
      </c>
      <c r="G345" s="258">
        <f t="shared" si="152"/>
        <v>11.25</v>
      </c>
      <c r="H345" s="141">
        <f>'Appendix J-2'!W113</f>
        <v>270</v>
      </c>
      <c r="I345" s="706"/>
      <c r="J345" s="201"/>
    </row>
    <row r="346" spans="1:12" x14ac:dyDescent="0.25">
      <c r="A346" s="148">
        <f>A$9</f>
        <v>1528</v>
      </c>
      <c r="B346" s="152">
        <f t="shared" si="153"/>
        <v>2.9649595687331536E-2</v>
      </c>
      <c r="C346" s="140">
        <f t="shared" si="154"/>
        <v>5</v>
      </c>
      <c r="D346" s="215">
        <f>'Appendix J-2'!X113</f>
        <v>0</v>
      </c>
      <c r="E346" s="138">
        <f t="shared" si="151"/>
        <v>0</v>
      </c>
      <c r="F346" s="215">
        <f>'Appendix J-2'!Z113</f>
        <v>0</v>
      </c>
      <c r="G346" s="258" t="e">
        <f t="shared" si="152"/>
        <v>#DIV/0!</v>
      </c>
      <c r="H346" s="141">
        <f>'Appendix J-2'!AB113</f>
        <v>0</v>
      </c>
      <c r="I346" s="706"/>
      <c r="J346" s="201"/>
    </row>
    <row r="347" spans="1:12" x14ac:dyDescent="0.25">
      <c r="A347" s="148">
        <f>A$10</f>
        <v>1592</v>
      </c>
      <c r="B347" s="152">
        <f t="shared" si="153"/>
        <v>4.1884816753926704E-2</v>
      </c>
      <c r="C347" s="140">
        <f t="shared" si="154"/>
        <v>6</v>
      </c>
      <c r="D347" s="148">
        <f>'Appendix J-2'!AC113</f>
        <v>0</v>
      </c>
      <c r="E347" s="138">
        <f t="shared" si="151"/>
        <v>0</v>
      </c>
      <c r="F347" s="148">
        <f>'Appendix J-2'!AE113</f>
        <v>0</v>
      </c>
      <c r="G347" s="258" t="e">
        <f t="shared" si="152"/>
        <v>#DIV/0!</v>
      </c>
      <c r="H347" s="141">
        <f>'Appendix J-2'!AG113</f>
        <v>0</v>
      </c>
      <c r="I347" s="706"/>
      <c r="J347" s="204"/>
    </row>
    <row r="348" spans="1:12" x14ac:dyDescent="0.25">
      <c r="A348" s="148">
        <f>A$11</f>
        <v>1642</v>
      </c>
      <c r="B348" s="152">
        <f t="shared" si="153"/>
        <v>3.1407035175879394E-2</v>
      </c>
      <c r="C348" s="140">
        <f t="shared" si="154"/>
        <v>7</v>
      </c>
      <c r="D348" s="148">
        <v>0</v>
      </c>
      <c r="E348" s="138">
        <f t="shared" si="151"/>
        <v>0</v>
      </c>
      <c r="F348" s="148">
        <v>0</v>
      </c>
      <c r="G348" s="258" t="e">
        <f t="shared" si="152"/>
        <v>#DIV/0!</v>
      </c>
      <c r="H348" s="141">
        <v>0</v>
      </c>
      <c r="I348" s="706"/>
      <c r="J348" s="204"/>
    </row>
    <row r="349" spans="1:12" x14ac:dyDescent="0.25">
      <c r="A349" s="148">
        <f>A$12</f>
        <v>1675</v>
      </c>
      <c r="B349" s="152">
        <f t="shared" si="153"/>
        <v>2.0097442143727162E-2</v>
      </c>
      <c r="C349" s="140">
        <f t="shared" si="154"/>
        <v>8</v>
      </c>
      <c r="D349" s="148">
        <v>0</v>
      </c>
      <c r="E349" s="138">
        <f t="shared" si="151"/>
        <v>0</v>
      </c>
      <c r="F349" s="148">
        <v>0</v>
      </c>
      <c r="G349" s="258" t="e">
        <f t="shared" si="152"/>
        <v>#DIV/0!</v>
      </c>
      <c r="H349" s="141">
        <v>0</v>
      </c>
      <c r="I349" s="706"/>
      <c r="J349" s="204"/>
    </row>
    <row r="350" spans="1:12" x14ac:dyDescent="0.25">
      <c r="A350" s="148">
        <f>A$13</f>
        <v>1739</v>
      </c>
      <c r="B350" s="152">
        <f t="shared" si="153"/>
        <v>3.8208955223880597E-2</v>
      </c>
      <c r="C350" s="140">
        <f t="shared" si="154"/>
        <v>9</v>
      </c>
      <c r="D350" s="148">
        <v>0</v>
      </c>
      <c r="E350" s="138">
        <f t="shared" si="151"/>
        <v>0</v>
      </c>
      <c r="F350" s="148">
        <v>0</v>
      </c>
      <c r="G350" s="258" t="e">
        <f t="shared" si="152"/>
        <v>#DIV/0!</v>
      </c>
      <c r="H350" s="141">
        <v>0</v>
      </c>
      <c r="I350" s="706"/>
      <c r="J350" s="204"/>
    </row>
    <row r="351" spans="1:12" x14ac:dyDescent="0.25">
      <c r="A351" s="148">
        <f>A$14</f>
        <v>1752</v>
      </c>
      <c r="B351" s="152">
        <f t="shared" si="153"/>
        <v>7.4755606670500289E-3</v>
      </c>
      <c r="C351" s="140">
        <f t="shared" si="154"/>
        <v>10</v>
      </c>
      <c r="D351" s="148">
        <v>0</v>
      </c>
      <c r="E351" s="138">
        <f t="shared" si="151"/>
        <v>0</v>
      </c>
      <c r="F351" s="148">
        <v>0</v>
      </c>
      <c r="G351" s="258" t="e">
        <f t="shared" si="152"/>
        <v>#DIV/0!</v>
      </c>
      <c r="H351" s="141">
        <v>0</v>
      </c>
      <c r="I351" s="707"/>
      <c r="J351" s="204"/>
      <c r="K351" s="287">
        <f>SUM(H342:H351)</f>
        <v>270</v>
      </c>
      <c r="L351" s="17">
        <f>IF(K351='Appendix J-2'!CD113,0,error)</f>
        <v>0</v>
      </c>
    </row>
    <row r="352" spans="1:12" x14ac:dyDescent="0.25">
      <c r="C352"/>
      <c r="I352" s="568"/>
      <c r="J352"/>
    </row>
    <row r="353" spans="1:19" x14ac:dyDescent="0.25">
      <c r="A353" s="271" t="s">
        <v>370</v>
      </c>
      <c r="B353" s="272"/>
      <c r="C353" s="272"/>
      <c r="D353" s="292" t="str">
        <f>'Appendix J-2'!B5</f>
        <v>Visit</v>
      </c>
      <c r="E353" s="223" t="str">
        <f>'Appendix J-2'!C5</f>
        <v>15 minutes</v>
      </c>
      <c r="F353" s="690"/>
      <c r="G353" s="690"/>
      <c r="H353" s="690"/>
      <c r="I353" s="687" t="s">
        <v>1088</v>
      </c>
      <c r="J353" s="205"/>
    </row>
    <row r="354" spans="1:19" x14ac:dyDescent="0.25">
      <c r="A354" s="147" t="s">
        <v>26</v>
      </c>
      <c r="B354" s="147" t="s">
        <v>27</v>
      </c>
      <c r="C354" s="50" t="s">
        <v>166</v>
      </c>
      <c r="D354" s="91" t="s">
        <v>154</v>
      </c>
      <c r="E354" s="89" t="s">
        <v>155</v>
      </c>
      <c r="F354" s="34" t="s">
        <v>158</v>
      </c>
      <c r="G354" s="35" t="s">
        <v>156</v>
      </c>
      <c r="H354" s="51" t="s">
        <v>157</v>
      </c>
      <c r="I354" s="688"/>
      <c r="J354" s="205"/>
    </row>
    <row r="355" spans="1:19" ht="15" customHeight="1" x14ac:dyDescent="0.25">
      <c r="A355" s="21">
        <f>A$5</f>
        <v>1182</v>
      </c>
      <c r="B355" s="148"/>
      <c r="C355" s="144">
        <v>1</v>
      </c>
      <c r="D355" s="247">
        <f>'Appendix J-2'!D5</f>
        <v>0</v>
      </c>
      <c r="E355" s="22">
        <f t="shared" ref="E355:E363" si="155">IF(F355=0,0,F355/D355)</f>
        <v>0</v>
      </c>
      <c r="F355" s="247">
        <f>'Appendix J-2'!F5</f>
        <v>0</v>
      </c>
      <c r="G355" s="253" t="e">
        <f t="shared" ref="G355" si="156">H355/F355</f>
        <v>#DIV/0!</v>
      </c>
      <c r="H355" s="250">
        <f>'Appendix J-2'!H5</f>
        <v>0</v>
      </c>
      <c r="I355" s="688"/>
      <c r="J355" s="205"/>
    </row>
    <row r="356" spans="1:19" x14ac:dyDescent="0.25">
      <c r="A356" s="21">
        <f>A$6</f>
        <v>1288</v>
      </c>
      <c r="B356" s="149">
        <f>(A356-A355)/A355</f>
        <v>8.9678510998307953E-2</v>
      </c>
      <c r="C356" s="52">
        <v>2</v>
      </c>
      <c r="D356" s="247">
        <f>'Appendix J-2'!I5</f>
        <v>28</v>
      </c>
      <c r="E356" s="22">
        <f t="shared" si="155"/>
        <v>96.321428571428569</v>
      </c>
      <c r="F356" s="247">
        <f>'Appendix J-2'!K5</f>
        <v>2697</v>
      </c>
      <c r="G356" s="253">
        <f t="shared" ref="G356:G363" si="157">H356/F356</f>
        <v>18.699254727474973</v>
      </c>
      <c r="H356" s="250">
        <f>'Appendix J-2'!M5</f>
        <v>50431.89</v>
      </c>
      <c r="I356" s="688"/>
      <c r="J356" s="205"/>
    </row>
    <row r="357" spans="1:19" x14ac:dyDescent="0.25">
      <c r="A357" s="21">
        <f>A$7</f>
        <v>1495</v>
      </c>
      <c r="B357" s="149">
        <f t="shared" ref="B357:B369" si="158">(A357-A356)/A356</f>
        <v>0.16071428571428573</v>
      </c>
      <c r="C357" s="52">
        <v>3</v>
      </c>
      <c r="D357" s="247">
        <f>'Appendix J-2'!N5</f>
        <v>51</v>
      </c>
      <c r="E357" s="22">
        <f t="shared" si="155"/>
        <v>122.98039215686275</v>
      </c>
      <c r="F357" s="247">
        <f>'Appendix J-2'!P5</f>
        <v>6272</v>
      </c>
      <c r="G357" s="253">
        <f t="shared" si="157"/>
        <v>18.701575255102039</v>
      </c>
      <c r="H357" s="248">
        <f>'Appendix J-2'!R5</f>
        <v>117296.28</v>
      </c>
      <c r="I357" s="688"/>
      <c r="J357" s="205"/>
    </row>
    <row r="358" spans="1:19" x14ac:dyDescent="0.25">
      <c r="A358" s="21">
        <f>A$8</f>
        <v>1484</v>
      </c>
      <c r="B358" s="149">
        <f t="shared" si="158"/>
        <v>-7.3578595317725752E-3</v>
      </c>
      <c r="C358" s="52">
        <f t="shared" ref="C358:C369" si="159">C357+1</f>
        <v>4</v>
      </c>
      <c r="D358" s="247">
        <f>'Appendix J-2'!S5</f>
        <v>49</v>
      </c>
      <c r="E358" s="22">
        <f t="shared" si="155"/>
        <v>77.632653061224488</v>
      </c>
      <c r="F358" s="247">
        <f>'Appendix J-2'!U5</f>
        <v>3804</v>
      </c>
      <c r="G358" s="253">
        <f t="shared" si="157"/>
        <v>18.707939011566772</v>
      </c>
      <c r="H358" s="248">
        <f>'Appendix J-2'!W5</f>
        <v>71165</v>
      </c>
      <c r="I358" s="688"/>
      <c r="J358" s="205"/>
    </row>
    <row r="359" spans="1:19" x14ac:dyDescent="0.25">
      <c r="A359" s="21">
        <f>A$9</f>
        <v>1528</v>
      </c>
      <c r="B359" s="149">
        <f t="shared" si="158"/>
        <v>2.9649595687331536E-2</v>
      </c>
      <c r="C359" s="52">
        <f t="shared" si="159"/>
        <v>5</v>
      </c>
      <c r="D359" s="247">
        <f>'Appendix J-2'!X5</f>
        <v>80</v>
      </c>
      <c r="E359" s="22">
        <f t="shared" si="155"/>
        <v>63.4</v>
      </c>
      <c r="F359" s="247">
        <f>'Appendix J-2'!Z5</f>
        <v>5072</v>
      </c>
      <c r="G359" s="253">
        <f t="shared" si="157"/>
        <v>18.75</v>
      </c>
      <c r="H359" s="248">
        <f>'Appendix J-2'!AB5</f>
        <v>95100</v>
      </c>
      <c r="I359" s="688"/>
      <c r="J359" s="205"/>
    </row>
    <row r="360" spans="1:19" x14ac:dyDescent="0.25">
      <c r="A360" s="21">
        <f>A$10</f>
        <v>1592</v>
      </c>
      <c r="B360" s="149">
        <f t="shared" si="158"/>
        <v>4.1884816753926704E-2</v>
      </c>
      <c r="C360" s="20">
        <f t="shared" si="159"/>
        <v>6</v>
      </c>
      <c r="D360" s="251">
        <f>'Appendix J-2'!AC5</f>
        <v>313</v>
      </c>
      <c r="E360" s="22">
        <f t="shared" si="155"/>
        <v>65.897763578274763</v>
      </c>
      <c r="F360" s="249">
        <f>'Appendix J-2'!AE5</f>
        <v>20626</v>
      </c>
      <c r="G360" s="253">
        <f t="shared" si="157"/>
        <v>18.75</v>
      </c>
      <c r="H360" s="248">
        <f>'Appendix J-2'!AG5</f>
        <v>386737.5</v>
      </c>
      <c r="I360" s="688"/>
      <c r="J360" s="205"/>
    </row>
    <row r="361" spans="1:19" x14ac:dyDescent="0.25">
      <c r="A361" s="21">
        <f>A$11</f>
        <v>1642</v>
      </c>
      <c r="B361" s="149">
        <f t="shared" si="158"/>
        <v>3.1407035175879394E-2</v>
      </c>
      <c r="C361" s="20">
        <f t="shared" si="159"/>
        <v>7</v>
      </c>
      <c r="D361" s="251">
        <f>'Appendix J-2'!AH5</f>
        <v>454</v>
      </c>
      <c r="E361" s="22">
        <f t="shared" si="155"/>
        <v>94.960352422907491</v>
      </c>
      <c r="F361" s="249">
        <f>'Appendix J-2'!AJ5</f>
        <v>43112</v>
      </c>
      <c r="G361" s="253">
        <f t="shared" si="157"/>
        <v>18.75</v>
      </c>
      <c r="H361" s="248">
        <f>'Appendix J-2'!AL5</f>
        <v>808350</v>
      </c>
      <c r="I361" s="688"/>
      <c r="J361" s="205"/>
      <c r="N361" s="87" t="s">
        <v>509</v>
      </c>
    </row>
    <row r="362" spans="1:19" x14ac:dyDescent="0.25">
      <c r="A362" s="21">
        <f>A$12</f>
        <v>1675</v>
      </c>
      <c r="B362" s="149">
        <f t="shared" si="158"/>
        <v>2.0097442143727162E-2</v>
      </c>
      <c r="C362" s="20">
        <f t="shared" si="159"/>
        <v>8</v>
      </c>
      <c r="D362" s="251">
        <f>'Appendix J-2'!AM5</f>
        <v>382</v>
      </c>
      <c r="E362" s="22">
        <f t="shared" si="155"/>
        <v>148.90052356020942</v>
      </c>
      <c r="F362" s="249">
        <f>'Appendix J-2'!AO5</f>
        <v>56880</v>
      </c>
      <c r="G362" s="253">
        <f t="shared" si="157"/>
        <v>18.75</v>
      </c>
      <c r="H362" s="248">
        <f>'Appendix J-2'!AQ5</f>
        <v>1066500</v>
      </c>
      <c r="I362" s="688"/>
      <c r="J362" s="205"/>
      <c r="N362" s="31" t="s">
        <v>507</v>
      </c>
      <c r="O362" s="31">
        <v>2015</v>
      </c>
      <c r="P362" s="31">
        <v>452</v>
      </c>
      <c r="Q362" s="90"/>
    </row>
    <row r="363" spans="1:19" x14ac:dyDescent="0.25">
      <c r="A363" s="21">
        <f>A$13</f>
        <v>1739</v>
      </c>
      <c r="B363" s="149">
        <f t="shared" si="158"/>
        <v>3.8208955223880597E-2</v>
      </c>
      <c r="C363" s="20">
        <f t="shared" si="159"/>
        <v>9</v>
      </c>
      <c r="D363" s="251">
        <f>'Appendix J-2'!AR5</f>
        <v>409</v>
      </c>
      <c r="E363" s="22">
        <f t="shared" si="155"/>
        <v>176.11735941320293</v>
      </c>
      <c r="F363" s="249">
        <f>'Appendix J-2'!AT5</f>
        <v>72032</v>
      </c>
      <c r="G363" s="253">
        <f t="shared" si="157"/>
        <v>18.762054087072414</v>
      </c>
      <c r="H363" s="248">
        <f>'Appendix J-2'!AV5</f>
        <v>1351468.28</v>
      </c>
      <c r="I363" s="688"/>
      <c r="J363" s="205"/>
      <c r="N363" s="31" t="s">
        <v>508</v>
      </c>
      <c r="O363" s="31">
        <v>2016</v>
      </c>
      <c r="P363" s="31">
        <v>402</v>
      </c>
      <c r="Q363" s="90"/>
    </row>
    <row r="364" spans="1:19" x14ac:dyDescent="0.25">
      <c r="A364" s="21">
        <f>A$14</f>
        <v>1752</v>
      </c>
      <c r="B364" s="149">
        <f t="shared" si="158"/>
        <v>7.4755606670500289E-3</v>
      </c>
      <c r="C364" s="20">
        <f t="shared" si="159"/>
        <v>10</v>
      </c>
      <c r="D364" s="21">
        <f>ROUND(TREND($D$356:$D$363,$A$356:$A$363,A364),0)</f>
        <v>442</v>
      </c>
      <c r="E364" s="22">
        <f>IF(TREND($E$356:$E$363,$C$356:$C$363,C364)&lt;400,TREND($E$356:$E$363,$C$356:$C$363,C364),400)</f>
        <v>145.56129309046796</v>
      </c>
      <c r="F364" s="21">
        <f>D364*E364</f>
        <v>64338.091545986834</v>
      </c>
      <c r="G364" s="24">
        <f>'DDS Rates for Amend'!C17</f>
        <v>18.940000000000001</v>
      </c>
      <c r="H364" s="33">
        <f>F364*G364</f>
        <v>1218563.4538809906</v>
      </c>
      <c r="I364" s="688"/>
      <c r="J364" s="205"/>
      <c r="N364" s="31" t="s">
        <v>510</v>
      </c>
      <c r="O364" s="31" t="s">
        <v>517</v>
      </c>
      <c r="P364" s="31">
        <v>335</v>
      </c>
      <c r="Q364" s="325">
        <f>AVERAGE(P362:P364)</f>
        <v>396.33333333333331</v>
      </c>
      <c r="R364" s="31" t="s">
        <v>518</v>
      </c>
      <c r="S364" s="87"/>
    </row>
    <row r="365" spans="1:19" x14ac:dyDescent="0.25">
      <c r="A365" s="21">
        <f>A$15</f>
        <v>1822</v>
      </c>
      <c r="B365" s="149">
        <f t="shared" si="158"/>
        <v>3.9954337899543377E-2</v>
      </c>
      <c r="C365" s="20">
        <f t="shared" si="159"/>
        <v>11</v>
      </c>
      <c r="D365" s="21">
        <f t="shared" ref="D365:D369" si="160">ROUND(TREND($D$356:$D$363,$A$356:$A$363,A365),0)</f>
        <v>521</v>
      </c>
      <c r="E365" s="22">
        <f t="shared" ref="E365:E369" si="161">IF(TREND($E$356:$E$363,$C$356:$C$363,C365)&lt;400,TREND($E$356:$E$363,$C$356:$C$363,C365),400)</f>
        <v>154.40240064490223</v>
      </c>
      <c r="F365" s="21">
        <f t="shared" ref="F365:F369" si="162">D365*E365</f>
        <v>80443.650735994059</v>
      </c>
      <c r="G365" s="24">
        <f>'DDS Rates for Amend'!C18</f>
        <v>19.43244</v>
      </c>
      <c r="H365" s="33">
        <f t="shared" ref="H365:H369" si="163">F365*G365</f>
        <v>1563216.4163081604</v>
      </c>
      <c r="I365" s="688"/>
      <c r="J365" s="205"/>
      <c r="P365" s="335"/>
      <c r="Q365" s="325"/>
    </row>
    <row r="366" spans="1:19" x14ac:dyDescent="0.25">
      <c r="A366" s="21">
        <f>A$16</f>
        <v>1872</v>
      </c>
      <c r="B366" s="149">
        <f t="shared" si="158"/>
        <v>2.7442371020856202E-2</v>
      </c>
      <c r="C366" s="20">
        <f t="shared" si="159"/>
        <v>12</v>
      </c>
      <c r="D366" s="21">
        <f t="shared" si="160"/>
        <v>578</v>
      </c>
      <c r="E366" s="22">
        <f t="shared" si="161"/>
        <v>163.24350819933647</v>
      </c>
      <c r="F366" s="21">
        <f t="shared" si="162"/>
        <v>94354.747739216487</v>
      </c>
      <c r="G366" s="24">
        <f>'DDS Rates for Amend'!C19</f>
        <v>19.937683440000001</v>
      </c>
      <c r="H366" s="33">
        <f t="shared" si="163"/>
        <v>1881215.0914855541</v>
      </c>
      <c r="I366" s="688"/>
      <c r="J366" s="205"/>
      <c r="P366" s="335"/>
      <c r="Q366" s="325"/>
    </row>
    <row r="367" spans="1:19" x14ac:dyDescent="0.25">
      <c r="A367" s="21">
        <f>A$17</f>
        <v>1902</v>
      </c>
      <c r="B367" s="149">
        <f t="shared" si="158"/>
        <v>1.6025641025641024E-2</v>
      </c>
      <c r="C367" s="20">
        <f t="shared" si="159"/>
        <v>13</v>
      </c>
      <c r="D367" s="21">
        <f t="shared" si="160"/>
        <v>611</v>
      </c>
      <c r="E367" s="22">
        <f t="shared" si="161"/>
        <v>172.08461575377075</v>
      </c>
      <c r="F367" s="21">
        <f t="shared" si="162"/>
        <v>105143.70022555393</v>
      </c>
      <c r="G367" s="24">
        <f>'DDS Rates for Amend'!C20</f>
        <v>20.45606320944</v>
      </c>
      <c r="H367" s="33">
        <f t="shared" si="163"/>
        <v>2150826.1778883417</v>
      </c>
      <c r="I367" s="688"/>
      <c r="J367" s="205"/>
      <c r="P367" s="335"/>
      <c r="Q367" s="325"/>
    </row>
    <row r="368" spans="1:19" x14ac:dyDescent="0.25">
      <c r="A368" s="21">
        <f>A$18</f>
        <v>1932</v>
      </c>
      <c r="B368" s="149">
        <f t="shared" si="158"/>
        <v>1.5772870662460567E-2</v>
      </c>
      <c r="C368" s="20">
        <f t="shared" si="159"/>
        <v>14</v>
      </c>
      <c r="D368" s="21">
        <f t="shared" si="160"/>
        <v>645</v>
      </c>
      <c r="E368" s="22">
        <f t="shared" si="161"/>
        <v>180.92572330820499</v>
      </c>
      <c r="F368" s="21">
        <f t="shared" si="162"/>
        <v>116697.09153379222</v>
      </c>
      <c r="G368" s="24">
        <f>'DDS Rates for Amend'!C21</f>
        <v>20.987920852885441</v>
      </c>
      <c r="H368" s="33">
        <f t="shared" si="163"/>
        <v>2449229.320873159</v>
      </c>
      <c r="I368" s="688"/>
      <c r="J368" s="205"/>
      <c r="P368" s="335"/>
      <c r="Q368" s="325"/>
    </row>
    <row r="369" spans="1:17" x14ac:dyDescent="0.25">
      <c r="A369" s="21">
        <f>A$19</f>
        <v>1962</v>
      </c>
      <c r="B369" s="149">
        <f t="shared" si="158"/>
        <v>1.5527950310559006E-2</v>
      </c>
      <c r="C369" s="20">
        <f t="shared" si="159"/>
        <v>15</v>
      </c>
      <c r="D369" s="21">
        <f t="shared" si="160"/>
        <v>679</v>
      </c>
      <c r="E369" s="22">
        <f t="shared" si="161"/>
        <v>189.76683086263927</v>
      </c>
      <c r="F369" s="21">
        <f t="shared" si="162"/>
        <v>128851.67815573206</v>
      </c>
      <c r="G369" s="24">
        <f>'DDS Rates for Amend'!C22</f>
        <v>21.533606795060464</v>
      </c>
      <c r="H369" s="33">
        <f t="shared" si="163"/>
        <v>2774641.3722892161</v>
      </c>
      <c r="I369" s="689"/>
      <c r="J369" s="205"/>
      <c r="K369" s="285">
        <f>SUM(H355:H369)</f>
        <v>15984740.782725422</v>
      </c>
      <c r="L369" s="17">
        <f>IF(K369='Appendix J-2'!CD5,0,error)</f>
        <v>0</v>
      </c>
      <c r="P369" s="335"/>
      <c r="Q369" s="325"/>
    </row>
    <row r="370" spans="1:17" x14ac:dyDescent="0.25">
      <c r="C370"/>
      <c r="I370" s="568"/>
      <c r="J370"/>
    </row>
    <row r="371" spans="1:17" x14ac:dyDescent="0.25">
      <c r="A371" s="697" t="s">
        <v>52</v>
      </c>
      <c r="B371" s="697"/>
      <c r="C371" s="697"/>
      <c r="D371" s="698"/>
      <c r="E371" s="224"/>
      <c r="F371" s="699"/>
      <c r="G371" s="699"/>
      <c r="H371" s="699"/>
      <c r="I371" s="705" t="s">
        <v>516</v>
      </c>
      <c r="J371" s="205"/>
    </row>
    <row r="372" spans="1:17" x14ac:dyDescent="0.25">
      <c r="A372" s="151" t="s">
        <v>26</v>
      </c>
      <c r="B372" s="151" t="s">
        <v>27</v>
      </c>
      <c r="C372" s="129" t="s">
        <v>166</v>
      </c>
      <c r="D372" s="260" t="s">
        <v>154</v>
      </c>
      <c r="E372" s="261" t="s">
        <v>155</v>
      </c>
      <c r="F372" s="262" t="s">
        <v>158</v>
      </c>
      <c r="G372" s="239" t="s">
        <v>156</v>
      </c>
      <c r="H372" s="239" t="s">
        <v>157</v>
      </c>
      <c r="I372" s="706"/>
      <c r="J372" s="203"/>
    </row>
    <row r="373" spans="1:17" x14ac:dyDescent="0.25">
      <c r="A373" s="148">
        <f>A$5</f>
        <v>1182</v>
      </c>
      <c r="B373" s="148"/>
      <c r="C373" s="137">
        <v>1</v>
      </c>
      <c r="D373" s="215">
        <f>'linked - DO NOT USE or DELETE'!D26</f>
        <v>0</v>
      </c>
      <c r="E373" s="138">
        <f>IF(F373=0,0,F373/D373)</f>
        <v>0</v>
      </c>
      <c r="F373" s="215">
        <f>'linked - DO NOT USE or DELETE'!F26</f>
        <v>0</v>
      </c>
      <c r="G373" s="258" t="e">
        <f>H373/F373</f>
        <v>#DIV/0!</v>
      </c>
      <c r="H373" s="216">
        <f>'linked - DO NOT USE or DELETE'!H26</f>
        <v>0</v>
      </c>
      <c r="I373" s="706"/>
      <c r="J373" s="200"/>
    </row>
    <row r="374" spans="1:17" x14ac:dyDescent="0.25">
      <c r="A374" s="148">
        <f>A$6</f>
        <v>1288</v>
      </c>
      <c r="B374" s="152">
        <f>(A374-A373)/A373</f>
        <v>8.9678510998307953E-2</v>
      </c>
      <c r="C374" s="140">
        <v>2</v>
      </c>
      <c r="D374" s="215">
        <f>'linked - DO NOT USE or DELETE'!I26</f>
        <v>0</v>
      </c>
      <c r="E374" s="138">
        <f>IF(F374=0,0,F374/D374)</f>
        <v>0</v>
      </c>
      <c r="F374" s="215">
        <f>'linked - DO NOT USE or DELETE'!K26</f>
        <v>0</v>
      </c>
      <c r="G374" s="258" t="e">
        <f t="shared" ref="G374:G381" si="164">H374/F374</f>
        <v>#DIV/0!</v>
      </c>
      <c r="H374" s="216">
        <f>'linked - DO NOT USE or DELETE'!M26</f>
        <v>0</v>
      </c>
      <c r="I374" s="706"/>
      <c r="J374" s="200"/>
    </row>
    <row r="375" spans="1:17" x14ac:dyDescent="0.25">
      <c r="A375" s="148">
        <f>A$7</f>
        <v>1495</v>
      </c>
      <c r="B375" s="152">
        <f t="shared" ref="B375:B382" si="165">(A375-A374)/A374</f>
        <v>0.16071428571428573</v>
      </c>
      <c r="C375" s="140">
        <v>3</v>
      </c>
      <c r="D375" s="215">
        <f>'linked - DO NOT USE or DELETE'!N26</f>
        <v>0</v>
      </c>
      <c r="E375" s="138">
        <f>IF(F375=0,0,F375/D375)</f>
        <v>0</v>
      </c>
      <c r="F375" s="215">
        <f>'linked - DO NOT USE or DELETE'!P26</f>
        <v>0</v>
      </c>
      <c r="G375" s="258" t="e">
        <f t="shared" si="164"/>
        <v>#DIV/0!</v>
      </c>
      <c r="H375" s="141">
        <f>'linked - DO NOT USE or DELETE'!R26</f>
        <v>0</v>
      </c>
      <c r="I375" s="706"/>
      <c r="J375" s="201"/>
    </row>
    <row r="376" spans="1:17" x14ac:dyDescent="0.25">
      <c r="A376" s="148">
        <f>A$8</f>
        <v>1484</v>
      </c>
      <c r="B376" s="152">
        <f t="shared" si="165"/>
        <v>-7.3578595317725752E-3</v>
      </c>
      <c r="C376" s="140">
        <f t="shared" ref="C376:C382" si="166">C375+1</f>
        <v>4</v>
      </c>
      <c r="D376" s="215">
        <f>'linked - DO NOT USE or DELETE'!S26</f>
        <v>0</v>
      </c>
      <c r="E376" s="138">
        <f>IF(F376=0,0,F376/D376)</f>
        <v>0</v>
      </c>
      <c r="F376" s="215">
        <f>'linked - DO NOT USE or DELETE'!U26</f>
        <v>0</v>
      </c>
      <c r="G376" s="258" t="e">
        <f t="shared" si="164"/>
        <v>#DIV/0!</v>
      </c>
      <c r="H376" s="141">
        <f>'linked - DO NOT USE or DELETE'!W26</f>
        <v>0</v>
      </c>
      <c r="I376" s="706"/>
      <c r="J376" s="201"/>
    </row>
    <row r="377" spans="1:17" x14ac:dyDescent="0.25">
      <c r="A377" s="148">
        <f>A$9</f>
        <v>1528</v>
      </c>
      <c r="B377" s="152">
        <f t="shared" si="165"/>
        <v>2.9649595687331536E-2</v>
      </c>
      <c r="C377" s="140">
        <f t="shared" si="166"/>
        <v>5</v>
      </c>
      <c r="D377" s="215">
        <f>'linked - DO NOT USE or DELETE'!X26</f>
        <v>0</v>
      </c>
      <c r="E377" s="138">
        <f>IF(F377=0,0,F377/D377)</f>
        <v>0</v>
      </c>
      <c r="F377" s="215">
        <f>'linked - DO NOT USE or DELETE'!Z26</f>
        <v>0</v>
      </c>
      <c r="G377" s="258" t="e">
        <f t="shared" si="164"/>
        <v>#DIV/0!</v>
      </c>
      <c r="H377" s="141">
        <f>'linked - DO NOT USE or DELETE'!AB26</f>
        <v>0</v>
      </c>
      <c r="I377" s="706"/>
      <c r="J377" s="201"/>
    </row>
    <row r="378" spans="1:17" x14ac:dyDescent="0.25">
      <c r="A378" s="148">
        <f>A$10</f>
        <v>1592</v>
      </c>
      <c r="B378" s="152">
        <f t="shared" si="165"/>
        <v>4.1884816753926704E-2</v>
      </c>
      <c r="C378" s="140">
        <f t="shared" si="166"/>
        <v>6</v>
      </c>
      <c r="D378" s="148">
        <v>0</v>
      </c>
      <c r="E378" s="138">
        <v>0</v>
      </c>
      <c r="F378" s="148">
        <f>D378*E378</f>
        <v>0</v>
      </c>
      <c r="G378" s="258" t="e">
        <f t="shared" si="164"/>
        <v>#DIV/0!</v>
      </c>
      <c r="H378" s="141">
        <v>0</v>
      </c>
      <c r="I378" s="706"/>
      <c r="J378" s="204"/>
    </row>
    <row r="379" spans="1:17" x14ac:dyDescent="0.25">
      <c r="A379" s="148">
        <f>A$11</f>
        <v>1642</v>
      </c>
      <c r="B379" s="152">
        <f t="shared" si="165"/>
        <v>3.1407035175879394E-2</v>
      </c>
      <c r="C379" s="140">
        <f t="shared" si="166"/>
        <v>7</v>
      </c>
      <c r="D379" s="148">
        <v>0</v>
      </c>
      <c r="E379" s="138">
        <v>0</v>
      </c>
      <c r="F379" s="148">
        <f>D379*E379</f>
        <v>0</v>
      </c>
      <c r="G379" s="258" t="e">
        <f t="shared" si="164"/>
        <v>#DIV/0!</v>
      </c>
      <c r="H379" s="141">
        <v>0</v>
      </c>
      <c r="I379" s="706"/>
      <c r="J379" s="204"/>
    </row>
    <row r="380" spans="1:17" x14ac:dyDescent="0.25">
      <c r="A380" s="148">
        <f>A$12</f>
        <v>1675</v>
      </c>
      <c r="B380" s="152">
        <f t="shared" si="165"/>
        <v>2.0097442143727162E-2</v>
      </c>
      <c r="C380" s="140">
        <f t="shared" si="166"/>
        <v>8</v>
      </c>
      <c r="D380" s="148">
        <v>0</v>
      </c>
      <c r="E380" s="138">
        <v>0</v>
      </c>
      <c r="F380" s="148">
        <f>D380*E380</f>
        <v>0</v>
      </c>
      <c r="G380" s="258" t="e">
        <f t="shared" si="164"/>
        <v>#DIV/0!</v>
      </c>
      <c r="H380" s="141">
        <v>0</v>
      </c>
      <c r="I380" s="706"/>
      <c r="J380" s="204"/>
    </row>
    <row r="381" spans="1:17" x14ac:dyDescent="0.25">
      <c r="A381" s="148">
        <f>A$13</f>
        <v>1739</v>
      </c>
      <c r="B381" s="152">
        <f t="shared" si="165"/>
        <v>3.8208955223880597E-2</v>
      </c>
      <c r="C381" s="140">
        <f t="shared" si="166"/>
        <v>9</v>
      </c>
      <c r="D381" s="148">
        <v>0</v>
      </c>
      <c r="E381" s="138">
        <v>0</v>
      </c>
      <c r="F381" s="148">
        <f>D381*E381</f>
        <v>0</v>
      </c>
      <c r="G381" s="258" t="e">
        <f t="shared" si="164"/>
        <v>#DIV/0!</v>
      </c>
      <c r="H381" s="141">
        <v>0</v>
      </c>
      <c r="I381" s="706"/>
      <c r="J381" s="204"/>
    </row>
    <row r="382" spans="1:17" x14ac:dyDescent="0.25">
      <c r="A382" s="148">
        <f>A$14</f>
        <v>1752</v>
      </c>
      <c r="B382" s="152">
        <f t="shared" si="165"/>
        <v>7.4755606670500289E-3</v>
      </c>
      <c r="C382" s="140">
        <f t="shared" si="166"/>
        <v>10</v>
      </c>
      <c r="D382" s="148">
        <v>0</v>
      </c>
      <c r="E382" s="138">
        <v>0</v>
      </c>
      <c r="F382" s="148">
        <f>D382*E382</f>
        <v>0</v>
      </c>
      <c r="G382" s="258" t="e">
        <f>H382/F382</f>
        <v>#DIV/0!</v>
      </c>
      <c r="H382" s="141">
        <v>0</v>
      </c>
      <c r="I382" s="707"/>
      <c r="J382" s="204"/>
      <c r="K382" s="287">
        <f>SUM(H373:H382)</f>
        <v>0</v>
      </c>
    </row>
    <row r="383" spans="1:17" x14ac:dyDescent="0.25">
      <c r="C383" s="72"/>
      <c r="D383" s="217"/>
      <c r="E383" s="218"/>
      <c r="F383" s="86"/>
      <c r="G383" s="86"/>
      <c r="H383" s="86"/>
      <c r="I383" s="569"/>
      <c r="J383" s="72"/>
      <c r="K383" s="86"/>
    </row>
    <row r="384" spans="1:17" x14ac:dyDescent="0.25">
      <c r="A384" s="696" t="s">
        <v>53</v>
      </c>
      <c r="B384" s="697"/>
      <c r="C384" s="697"/>
      <c r="D384" s="698"/>
      <c r="E384" s="224"/>
      <c r="F384" s="699"/>
      <c r="G384" s="699"/>
      <c r="H384" s="699"/>
      <c r="I384" s="705" t="s">
        <v>516</v>
      </c>
      <c r="J384" s="205"/>
      <c r="K384" s="86"/>
    </row>
    <row r="385" spans="1:11" x14ac:dyDescent="0.25">
      <c r="A385" s="151" t="s">
        <v>26</v>
      </c>
      <c r="B385" s="151" t="s">
        <v>27</v>
      </c>
      <c r="C385" s="129" t="s">
        <v>166</v>
      </c>
      <c r="D385" s="260" t="s">
        <v>154</v>
      </c>
      <c r="E385" s="261" t="s">
        <v>155</v>
      </c>
      <c r="F385" s="262" t="s">
        <v>158</v>
      </c>
      <c r="G385" s="239" t="s">
        <v>156</v>
      </c>
      <c r="H385" s="239" t="s">
        <v>157</v>
      </c>
      <c r="I385" s="706"/>
      <c r="J385" s="203"/>
      <c r="K385" s="86"/>
    </row>
    <row r="386" spans="1:11" x14ac:dyDescent="0.25">
      <c r="A386" s="148">
        <f>A$5</f>
        <v>1182</v>
      </c>
      <c r="B386" s="148"/>
      <c r="C386" s="137">
        <v>1</v>
      </c>
      <c r="D386" s="215">
        <f>'linked - DO NOT USE or DELETE'!D27</f>
        <v>0</v>
      </c>
      <c r="E386" s="138">
        <f>IF(F386=0,0,F386/D386)</f>
        <v>0</v>
      </c>
      <c r="F386" s="215">
        <f>'linked - DO NOT USE or DELETE'!F27</f>
        <v>0</v>
      </c>
      <c r="G386" s="258" t="e">
        <f>H386/F386</f>
        <v>#DIV/0!</v>
      </c>
      <c r="H386" s="216">
        <v>0</v>
      </c>
      <c r="I386" s="706"/>
      <c r="J386" s="200"/>
      <c r="K386" s="86"/>
    </row>
    <row r="387" spans="1:11" x14ac:dyDescent="0.25">
      <c r="A387" s="148">
        <f>A$6</f>
        <v>1288</v>
      </c>
      <c r="B387" s="152">
        <f>(A387-A386)/A386</f>
        <v>8.9678510998307953E-2</v>
      </c>
      <c r="C387" s="140">
        <v>2</v>
      </c>
      <c r="D387" s="215">
        <f>'linked - DO NOT USE or DELETE'!I27</f>
        <v>0</v>
      </c>
      <c r="E387" s="138">
        <f>IF(F387=0,0,F387/D387)</f>
        <v>0</v>
      </c>
      <c r="F387" s="215">
        <f>'linked - DO NOT USE or DELETE'!K27</f>
        <v>0</v>
      </c>
      <c r="G387" s="258" t="e">
        <f t="shared" ref="G387:G395" si="167">H387/F387</f>
        <v>#DIV/0!</v>
      </c>
      <c r="H387" s="216">
        <v>0</v>
      </c>
      <c r="I387" s="706"/>
      <c r="J387" s="200"/>
      <c r="K387" s="86"/>
    </row>
    <row r="388" spans="1:11" x14ac:dyDescent="0.25">
      <c r="A388" s="148">
        <f>A$7</f>
        <v>1495</v>
      </c>
      <c r="B388" s="152">
        <f t="shared" ref="B388:B395" si="168">(A388-A387)/A387</f>
        <v>0.16071428571428573</v>
      </c>
      <c r="C388" s="140">
        <v>3</v>
      </c>
      <c r="D388" s="215">
        <f>'linked - DO NOT USE or DELETE'!N27</f>
        <v>0</v>
      </c>
      <c r="E388" s="138">
        <f>IF(F388=0,0,F388/D388)</f>
        <v>0</v>
      </c>
      <c r="F388" s="215">
        <f>'linked - DO NOT USE or DELETE'!P27</f>
        <v>0</v>
      </c>
      <c r="G388" s="258" t="e">
        <f t="shared" si="167"/>
        <v>#DIV/0!</v>
      </c>
      <c r="H388" s="141">
        <v>0</v>
      </c>
      <c r="I388" s="706"/>
      <c r="J388" s="201"/>
      <c r="K388" s="86"/>
    </row>
    <row r="389" spans="1:11" x14ac:dyDescent="0.25">
      <c r="A389" s="148">
        <f>A$8</f>
        <v>1484</v>
      </c>
      <c r="B389" s="152">
        <f t="shared" si="168"/>
        <v>-7.3578595317725752E-3</v>
      </c>
      <c r="C389" s="140">
        <f t="shared" ref="C389:C395" si="169">C388+1</f>
        <v>4</v>
      </c>
      <c r="D389" s="215">
        <f>'linked - DO NOT USE or DELETE'!S27</f>
        <v>0</v>
      </c>
      <c r="E389" s="138">
        <f>IF(F389=0,0,F389/D389)</f>
        <v>0</v>
      </c>
      <c r="F389" s="215">
        <f>'linked - DO NOT USE or DELETE'!U27</f>
        <v>0</v>
      </c>
      <c r="G389" s="258" t="e">
        <f t="shared" si="167"/>
        <v>#DIV/0!</v>
      </c>
      <c r="H389" s="141">
        <v>0</v>
      </c>
      <c r="I389" s="706"/>
      <c r="J389" s="201"/>
      <c r="K389" s="86"/>
    </row>
    <row r="390" spans="1:11" x14ac:dyDescent="0.25">
      <c r="A390" s="148">
        <f>A$9</f>
        <v>1528</v>
      </c>
      <c r="B390" s="152">
        <f t="shared" si="168"/>
        <v>2.9649595687331536E-2</v>
      </c>
      <c r="C390" s="140">
        <f t="shared" si="169"/>
        <v>5</v>
      </c>
      <c r="D390" s="215">
        <f>'linked - DO NOT USE or DELETE'!X27</f>
        <v>0</v>
      </c>
      <c r="E390" s="138">
        <f>IF(F390=0,0,F390/D390)</f>
        <v>0</v>
      </c>
      <c r="F390" s="215">
        <f>'linked - DO NOT USE or DELETE'!Z27</f>
        <v>0</v>
      </c>
      <c r="G390" s="258" t="e">
        <f t="shared" si="167"/>
        <v>#DIV/0!</v>
      </c>
      <c r="H390" s="141">
        <v>0</v>
      </c>
      <c r="I390" s="706"/>
      <c r="J390" s="201"/>
      <c r="K390" s="86"/>
    </row>
    <row r="391" spans="1:11" x14ac:dyDescent="0.25">
      <c r="A391" s="148">
        <f>A$10</f>
        <v>1592</v>
      </c>
      <c r="B391" s="152">
        <f t="shared" si="168"/>
        <v>4.1884816753926704E-2</v>
      </c>
      <c r="C391" s="140">
        <f t="shared" si="169"/>
        <v>6</v>
      </c>
      <c r="D391" s="148">
        <v>0</v>
      </c>
      <c r="E391" s="138">
        <v>0</v>
      </c>
      <c r="F391" s="148">
        <f>D391*E391</f>
        <v>0</v>
      </c>
      <c r="G391" s="258" t="e">
        <f t="shared" si="167"/>
        <v>#DIV/0!</v>
      </c>
      <c r="H391" s="141">
        <v>0</v>
      </c>
      <c r="I391" s="706"/>
      <c r="J391" s="204"/>
      <c r="K391" s="86"/>
    </row>
    <row r="392" spans="1:11" x14ac:dyDescent="0.25">
      <c r="A392" s="148">
        <f>A$11</f>
        <v>1642</v>
      </c>
      <c r="B392" s="152">
        <f t="shared" si="168"/>
        <v>3.1407035175879394E-2</v>
      </c>
      <c r="C392" s="140">
        <f t="shared" si="169"/>
        <v>7</v>
      </c>
      <c r="D392" s="148">
        <v>0</v>
      </c>
      <c r="E392" s="138">
        <v>0</v>
      </c>
      <c r="F392" s="148">
        <f>D392*E392</f>
        <v>0</v>
      </c>
      <c r="G392" s="258" t="e">
        <f t="shared" si="167"/>
        <v>#DIV/0!</v>
      </c>
      <c r="H392" s="141">
        <v>0</v>
      </c>
      <c r="I392" s="706"/>
      <c r="J392" s="204"/>
      <c r="K392" s="86"/>
    </row>
    <row r="393" spans="1:11" x14ac:dyDescent="0.25">
      <c r="A393" s="148">
        <f>A$12</f>
        <v>1675</v>
      </c>
      <c r="B393" s="152">
        <f t="shared" si="168"/>
        <v>2.0097442143727162E-2</v>
      </c>
      <c r="C393" s="140">
        <f t="shared" si="169"/>
        <v>8</v>
      </c>
      <c r="D393" s="148">
        <v>0</v>
      </c>
      <c r="E393" s="138">
        <v>0</v>
      </c>
      <c r="F393" s="148">
        <f>D393*E393</f>
        <v>0</v>
      </c>
      <c r="G393" s="258" t="e">
        <f t="shared" si="167"/>
        <v>#DIV/0!</v>
      </c>
      <c r="H393" s="141">
        <v>0</v>
      </c>
      <c r="I393" s="706"/>
      <c r="J393" s="204"/>
      <c r="K393" s="86"/>
    </row>
    <row r="394" spans="1:11" x14ac:dyDescent="0.25">
      <c r="A394" s="148">
        <f>A$13</f>
        <v>1739</v>
      </c>
      <c r="B394" s="152">
        <f t="shared" si="168"/>
        <v>3.8208955223880597E-2</v>
      </c>
      <c r="C394" s="140">
        <f t="shared" si="169"/>
        <v>9</v>
      </c>
      <c r="D394" s="148">
        <v>0</v>
      </c>
      <c r="E394" s="138">
        <v>0</v>
      </c>
      <c r="F394" s="148">
        <f>D394*E394</f>
        <v>0</v>
      </c>
      <c r="G394" s="258" t="e">
        <f t="shared" si="167"/>
        <v>#DIV/0!</v>
      </c>
      <c r="H394" s="141">
        <v>0</v>
      </c>
      <c r="I394" s="706"/>
      <c r="J394" s="204"/>
      <c r="K394" s="86"/>
    </row>
    <row r="395" spans="1:11" x14ac:dyDescent="0.25">
      <c r="A395" s="148">
        <f>A$14</f>
        <v>1752</v>
      </c>
      <c r="B395" s="152">
        <f t="shared" si="168"/>
        <v>7.4755606670500289E-3</v>
      </c>
      <c r="C395" s="140">
        <f t="shared" si="169"/>
        <v>10</v>
      </c>
      <c r="D395" s="148">
        <v>0</v>
      </c>
      <c r="E395" s="138">
        <v>0</v>
      </c>
      <c r="F395" s="148">
        <f>D395*E395</f>
        <v>0</v>
      </c>
      <c r="G395" s="258" t="e">
        <f t="shared" si="167"/>
        <v>#DIV/0!</v>
      </c>
      <c r="H395" s="141">
        <v>0</v>
      </c>
      <c r="I395" s="707"/>
      <c r="J395" s="204"/>
      <c r="K395" s="287">
        <f>SUM(H386:H395)</f>
        <v>0</v>
      </c>
    </row>
    <row r="396" spans="1:11" x14ac:dyDescent="0.25">
      <c r="C396"/>
      <c r="I396" s="569"/>
      <c r="J396" s="72"/>
      <c r="K396" s="86"/>
    </row>
    <row r="397" spans="1:11" x14ac:dyDescent="0.25">
      <c r="A397" s="696" t="s">
        <v>54</v>
      </c>
      <c r="B397" s="697"/>
      <c r="C397" s="697"/>
      <c r="D397" s="698"/>
      <c r="E397" s="224"/>
      <c r="F397" s="699"/>
      <c r="G397" s="699"/>
      <c r="H397" s="699"/>
      <c r="I397" s="705" t="s">
        <v>279</v>
      </c>
      <c r="J397" s="205"/>
    </row>
    <row r="398" spans="1:11" x14ac:dyDescent="0.25">
      <c r="A398" s="151" t="s">
        <v>26</v>
      </c>
      <c r="B398" s="151" t="s">
        <v>27</v>
      </c>
      <c r="C398" s="163" t="s">
        <v>166</v>
      </c>
      <c r="D398" s="225" t="s">
        <v>154</v>
      </c>
      <c r="E398" s="226" t="s">
        <v>155</v>
      </c>
      <c r="F398" s="227" t="s">
        <v>158</v>
      </c>
      <c r="G398" s="228" t="s">
        <v>156</v>
      </c>
      <c r="H398" s="228" t="s">
        <v>157</v>
      </c>
      <c r="I398" s="706"/>
      <c r="J398" s="203"/>
    </row>
    <row r="399" spans="1:11" ht="15" customHeight="1" x14ac:dyDescent="0.25">
      <c r="A399" s="148">
        <f>A$5</f>
        <v>1182</v>
      </c>
      <c r="B399" s="148"/>
      <c r="C399" s="137">
        <v>1</v>
      </c>
      <c r="D399" s="215">
        <f>'Appendix J-2'!D24</f>
        <v>0</v>
      </c>
      <c r="E399" s="138">
        <f t="shared" ref="E399:E408" si="170">IF(F399=0,0,F399/D399)</f>
        <v>0</v>
      </c>
      <c r="F399" s="215">
        <f>'Appendix J-2'!F24</f>
        <v>0</v>
      </c>
      <c r="G399" s="258" t="e">
        <f>H399/F399</f>
        <v>#DIV/0!</v>
      </c>
      <c r="H399" s="216">
        <f>'Appendix J-2'!H24</f>
        <v>0</v>
      </c>
      <c r="I399" s="706"/>
      <c r="J399" s="200"/>
    </row>
    <row r="400" spans="1:11" x14ac:dyDescent="0.25">
      <c r="A400" s="148">
        <f>A$6</f>
        <v>1288</v>
      </c>
      <c r="B400" s="152">
        <f>(A400-A399)/A399</f>
        <v>8.9678510998307953E-2</v>
      </c>
      <c r="C400" s="140">
        <v>2</v>
      </c>
      <c r="D400" s="215">
        <f>'Appendix J-2'!I24</f>
        <v>12</v>
      </c>
      <c r="E400" s="138">
        <f t="shared" si="170"/>
        <v>53.833333333333336</v>
      </c>
      <c r="F400" s="215">
        <f>'Appendix J-2'!K24</f>
        <v>646</v>
      </c>
      <c r="G400" s="258">
        <f t="shared" ref="G400:G407" si="171">H400/F400</f>
        <v>11.25</v>
      </c>
      <c r="H400" s="216">
        <f>'Appendix J-2'!M24</f>
        <v>7267.5</v>
      </c>
      <c r="I400" s="706"/>
      <c r="J400" s="200"/>
    </row>
    <row r="401" spans="1:12" x14ac:dyDescent="0.25">
      <c r="A401" s="148">
        <f>A$7</f>
        <v>1495</v>
      </c>
      <c r="B401" s="152">
        <f t="shared" ref="B401:B408" si="172">(A401-A400)/A400</f>
        <v>0.16071428571428573</v>
      </c>
      <c r="C401" s="140">
        <v>3</v>
      </c>
      <c r="D401" s="215">
        <f>'Appendix J-2'!N24</f>
        <v>27</v>
      </c>
      <c r="E401" s="138">
        <f t="shared" si="170"/>
        <v>75.037037037037038</v>
      </c>
      <c r="F401" s="215">
        <f>'Appendix J-2'!P24</f>
        <v>2026</v>
      </c>
      <c r="G401" s="258">
        <f t="shared" si="171"/>
        <v>11.25</v>
      </c>
      <c r="H401" s="141">
        <f>'Appendix J-2'!R24</f>
        <v>22792.5</v>
      </c>
      <c r="I401" s="706"/>
      <c r="J401" s="201"/>
    </row>
    <row r="402" spans="1:12" x14ac:dyDescent="0.25">
      <c r="A402" s="148">
        <f>A$8</f>
        <v>1484</v>
      </c>
      <c r="B402" s="152">
        <f t="shared" si="172"/>
        <v>-7.3578595317725752E-3</v>
      </c>
      <c r="C402" s="140">
        <f t="shared" ref="C402:C408" si="173">C401+1</f>
        <v>4</v>
      </c>
      <c r="D402" s="215">
        <f>'Appendix J-2'!S24</f>
        <v>54</v>
      </c>
      <c r="E402" s="138">
        <f>IF(F402=0,0,F402/D402)</f>
        <v>50.962962962962962</v>
      </c>
      <c r="F402" s="215">
        <f>'Appendix J-2'!U24</f>
        <v>2752</v>
      </c>
      <c r="G402" s="258">
        <f t="shared" si="171"/>
        <v>11.25</v>
      </c>
      <c r="H402" s="141">
        <f>'Appendix J-2'!W24</f>
        <v>30960</v>
      </c>
      <c r="I402" s="706"/>
      <c r="J402" s="201"/>
    </row>
    <row r="403" spans="1:12" x14ac:dyDescent="0.25">
      <c r="A403" s="148">
        <f>A$9</f>
        <v>1528</v>
      </c>
      <c r="B403" s="152">
        <f t="shared" si="172"/>
        <v>2.9649595687331536E-2</v>
      </c>
      <c r="C403" s="140">
        <f t="shared" si="173"/>
        <v>5</v>
      </c>
      <c r="D403" s="215">
        <f>'Appendix J-2'!X24</f>
        <v>3</v>
      </c>
      <c r="E403" s="138">
        <f t="shared" si="170"/>
        <v>44.666666666666664</v>
      </c>
      <c r="F403" s="215">
        <f>'Appendix J-2'!Z24</f>
        <v>134</v>
      </c>
      <c r="G403" s="258">
        <f t="shared" si="171"/>
        <v>11.25</v>
      </c>
      <c r="H403" s="141">
        <f>'Appendix J-2'!AB24</f>
        <v>1507.5</v>
      </c>
      <c r="I403" s="706"/>
      <c r="J403" s="201"/>
    </row>
    <row r="404" spans="1:12" x14ac:dyDescent="0.25">
      <c r="A404" s="148">
        <f>A$10</f>
        <v>1592</v>
      </c>
      <c r="B404" s="152">
        <f t="shared" si="172"/>
        <v>4.1884816753926704E-2</v>
      </c>
      <c r="C404" s="140">
        <f t="shared" si="173"/>
        <v>6</v>
      </c>
      <c r="D404" s="148">
        <f>'Appendix J-2'!AC24</f>
        <v>23</v>
      </c>
      <c r="E404" s="138">
        <f t="shared" si="170"/>
        <v>78.695652173913047</v>
      </c>
      <c r="F404" s="148">
        <f>'Appendix J-2'!AE24</f>
        <v>1810</v>
      </c>
      <c r="G404" s="258">
        <f t="shared" si="171"/>
        <v>11.25</v>
      </c>
      <c r="H404" s="141">
        <f>'Appendix J-2'!AG24</f>
        <v>20362.5</v>
      </c>
      <c r="I404" s="706"/>
      <c r="J404" s="204"/>
    </row>
    <row r="405" spans="1:12" x14ac:dyDescent="0.25">
      <c r="A405" s="148">
        <f>A$11</f>
        <v>1642</v>
      </c>
      <c r="B405" s="152">
        <f t="shared" si="172"/>
        <v>3.1407035175879394E-2</v>
      </c>
      <c r="C405" s="140">
        <f t="shared" si="173"/>
        <v>7</v>
      </c>
      <c r="D405" s="148">
        <f>'Appendix J-2'!AH24</f>
        <v>47</v>
      </c>
      <c r="E405" s="138">
        <f t="shared" si="170"/>
        <v>107.95744680851064</v>
      </c>
      <c r="F405" s="148">
        <f>'Appendix J-2'!AJ24</f>
        <v>5074</v>
      </c>
      <c r="G405" s="259">
        <f t="shared" si="171"/>
        <v>11.209992116673236</v>
      </c>
      <c r="H405" s="141">
        <f>'Appendix J-2'!AL24</f>
        <v>56879.5</v>
      </c>
      <c r="I405" s="706"/>
      <c r="J405" s="204"/>
    </row>
    <row r="406" spans="1:12" x14ac:dyDescent="0.25">
      <c r="A406" s="148">
        <f>A$12</f>
        <v>1675</v>
      </c>
      <c r="B406" s="152">
        <f t="shared" si="172"/>
        <v>2.0097442143727162E-2</v>
      </c>
      <c r="C406" s="140">
        <f t="shared" si="173"/>
        <v>8</v>
      </c>
      <c r="D406" s="148">
        <f>'Appendix J-2'!AM24</f>
        <v>26</v>
      </c>
      <c r="E406" s="138">
        <f t="shared" si="170"/>
        <v>193.84615384615384</v>
      </c>
      <c r="F406" s="148">
        <f>'Appendix J-2'!AO24</f>
        <v>5040</v>
      </c>
      <c r="G406" s="259">
        <f t="shared" si="171"/>
        <v>11.241037698412699</v>
      </c>
      <c r="H406" s="141">
        <f>'Appendix J-2'!AQ24</f>
        <v>56654.83</v>
      </c>
      <c r="I406" s="706"/>
      <c r="J406" s="204"/>
    </row>
    <row r="407" spans="1:12" x14ac:dyDescent="0.25">
      <c r="A407" s="148">
        <f>A$13</f>
        <v>1739</v>
      </c>
      <c r="B407" s="152">
        <f t="shared" si="172"/>
        <v>3.8208955223880597E-2</v>
      </c>
      <c r="C407" s="140">
        <f t="shared" si="173"/>
        <v>9</v>
      </c>
      <c r="D407" s="148">
        <f>'Appendix J-2'!AR24</f>
        <v>29</v>
      </c>
      <c r="E407" s="138">
        <f t="shared" si="170"/>
        <v>57.482758620689658</v>
      </c>
      <c r="F407" s="148">
        <f>'Appendix J-2'!AT24</f>
        <v>1667</v>
      </c>
      <c r="G407" s="259">
        <f t="shared" si="171"/>
        <v>23.408206358728258</v>
      </c>
      <c r="H407" s="141">
        <f>'Appendix J-2'!AV24</f>
        <v>39021.480000000003</v>
      </c>
      <c r="I407" s="706"/>
      <c r="J407" s="204"/>
    </row>
    <row r="408" spans="1:12" x14ac:dyDescent="0.25">
      <c r="A408" s="148">
        <f>A$14</f>
        <v>1752</v>
      </c>
      <c r="B408" s="152">
        <f t="shared" si="172"/>
        <v>7.4755606670500289E-3</v>
      </c>
      <c r="C408" s="140">
        <f t="shared" si="173"/>
        <v>10</v>
      </c>
      <c r="D408" s="148"/>
      <c r="E408" s="138">
        <f t="shared" si="170"/>
        <v>0</v>
      </c>
      <c r="F408" s="148"/>
      <c r="G408" s="259">
        <v>0</v>
      </c>
      <c r="H408" s="141">
        <v>0</v>
      </c>
      <c r="I408" s="707"/>
      <c r="J408" s="204"/>
      <c r="K408" s="287">
        <f>SUM(H399:H408)</f>
        <v>235445.81000000003</v>
      </c>
      <c r="L408" s="17">
        <f>IF(K408='Appendix J-2'!CD24,0,error)</f>
        <v>0</v>
      </c>
    </row>
    <row r="409" spans="1:12" x14ac:dyDescent="0.25">
      <c r="C409"/>
      <c r="I409" s="569"/>
      <c r="J409" s="72"/>
    </row>
    <row r="410" spans="1:12" x14ac:dyDescent="0.25">
      <c r="A410" s="271" t="s">
        <v>55</v>
      </c>
      <c r="B410" s="272"/>
      <c r="C410" s="272"/>
      <c r="D410" s="292" t="str">
        <f>'Appendix J-2'!B25</f>
        <v>Initial assessment</v>
      </c>
      <c r="E410" s="223" t="str">
        <f>'Appendix J-2'!C25</f>
        <v>flat rate</v>
      </c>
      <c r="F410" s="690"/>
      <c r="G410" s="690"/>
      <c r="H410" s="690"/>
      <c r="I410" s="687" t="s">
        <v>1075</v>
      </c>
      <c r="J410" s="205"/>
    </row>
    <row r="411" spans="1:12" x14ac:dyDescent="0.25">
      <c r="A411" s="147" t="s">
        <v>26</v>
      </c>
      <c r="B411" s="147" t="s">
        <v>27</v>
      </c>
      <c r="C411" s="50" t="s">
        <v>166</v>
      </c>
      <c r="D411" s="91" t="s">
        <v>154</v>
      </c>
      <c r="E411" s="89" t="s">
        <v>155</v>
      </c>
      <c r="F411" s="34" t="s">
        <v>158</v>
      </c>
      <c r="G411" s="35" t="s">
        <v>156</v>
      </c>
      <c r="H411" s="51" t="s">
        <v>157</v>
      </c>
      <c r="I411" s="688"/>
      <c r="J411" s="205"/>
    </row>
    <row r="412" spans="1:12" x14ac:dyDescent="0.25">
      <c r="A412" s="21">
        <f>A$5</f>
        <v>1182</v>
      </c>
      <c r="B412" s="148"/>
      <c r="C412" s="144">
        <v>1</v>
      </c>
      <c r="D412" s="247">
        <f>'Appendix J-2'!D25</f>
        <v>239</v>
      </c>
      <c r="E412" s="22">
        <f>IF(F412=0,0,F412/D412)</f>
        <v>1.1757322175732217</v>
      </c>
      <c r="F412" s="247">
        <f>'Appendix J-2'!F25</f>
        <v>281</v>
      </c>
      <c r="G412" s="24">
        <f>H412/F412</f>
        <v>234.09252669039145</v>
      </c>
      <c r="H412" s="250">
        <f>'Appendix J-2'!H25</f>
        <v>65780</v>
      </c>
      <c r="I412" s="688"/>
      <c r="J412" s="205"/>
    </row>
    <row r="413" spans="1:12" x14ac:dyDescent="0.25">
      <c r="A413" s="21">
        <f>A$6</f>
        <v>1288</v>
      </c>
      <c r="B413" s="149">
        <f>(A413-A412)/A412</f>
        <v>8.9678510998307953E-2</v>
      </c>
      <c r="C413" s="52">
        <v>2</v>
      </c>
      <c r="D413" s="247">
        <f>'Appendix J-2'!I25</f>
        <v>293</v>
      </c>
      <c r="E413" s="22">
        <f t="shared" ref="E413:E420" si="174">IF(F413=0,0,F413/D413)</f>
        <v>1.1604095563139931</v>
      </c>
      <c r="F413" s="247">
        <f>'Appendix J-2'!K25</f>
        <v>340</v>
      </c>
      <c r="G413" s="24">
        <f>H413/F413</f>
        <v>223.82058823529411</v>
      </c>
      <c r="H413" s="250">
        <f>'Appendix J-2'!M25</f>
        <v>76099</v>
      </c>
      <c r="I413" s="688"/>
      <c r="J413" s="205"/>
    </row>
    <row r="414" spans="1:12" x14ac:dyDescent="0.25">
      <c r="A414" s="21">
        <f>A$7</f>
        <v>1495</v>
      </c>
      <c r="B414" s="149">
        <f t="shared" ref="B414:B426" si="175">(A414-A413)/A413</f>
        <v>0.16071428571428573</v>
      </c>
      <c r="C414" s="52">
        <v>3</v>
      </c>
      <c r="D414" s="247">
        <f>'Appendix J-2'!N25</f>
        <v>220</v>
      </c>
      <c r="E414" s="22">
        <f t="shared" si="174"/>
        <v>1.1681818181818182</v>
      </c>
      <c r="F414" s="247">
        <f>'Appendix J-2'!P25</f>
        <v>257</v>
      </c>
      <c r="G414" s="24">
        <f>H414/F414</f>
        <v>224.2863813229572</v>
      </c>
      <c r="H414" s="248">
        <f>'Appendix J-2'!R25</f>
        <v>57641.599999999999</v>
      </c>
      <c r="I414" s="688"/>
      <c r="J414" s="205"/>
    </row>
    <row r="415" spans="1:12" x14ac:dyDescent="0.25">
      <c r="A415" s="21">
        <f>A$8</f>
        <v>1484</v>
      </c>
      <c r="B415" s="149">
        <f t="shared" si="175"/>
        <v>-7.3578595317725752E-3</v>
      </c>
      <c r="C415" s="52">
        <f t="shared" ref="C415:C426" si="176">C414+1</f>
        <v>4</v>
      </c>
      <c r="D415" s="247">
        <f>'Appendix J-2'!S25</f>
        <v>204</v>
      </c>
      <c r="E415" s="23">
        <f t="shared" si="174"/>
        <v>1.0196078431372548</v>
      </c>
      <c r="F415" s="247">
        <f>'Appendix J-2'!U25</f>
        <v>208</v>
      </c>
      <c r="G415" s="25">
        <f>H415/F415</f>
        <v>239.59038461538464</v>
      </c>
      <c r="H415" s="248">
        <f>'Appendix J-2'!W25</f>
        <v>49834.8</v>
      </c>
      <c r="I415" s="688"/>
      <c r="J415" s="205"/>
    </row>
    <row r="416" spans="1:12" x14ac:dyDescent="0.25">
      <c r="A416" s="21">
        <f>A$9</f>
        <v>1528</v>
      </c>
      <c r="B416" s="149">
        <f t="shared" si="175"/>
        <v>2.9649595687331536E-2</v>
      </c>
      <c r="C416" s="52">
        <f t="shared" si="176"/>
        <v>5</v>
      </c>
      <c r="D416" s="247">
        <f>'Appendix J-2'!X25</f>
        <v>163</v>
      </c>
      <c r="E416" s="23">
        <f t="shared" si="174"/>
        <v>1.0429447852760736</v>
      </c>
      <c r="F416" s="247">
        <f>'Appendix J-2'!Z25</f>
        <v>170</v>
      </c>
      <c r="G416" s="25">
        <f t="shared" ref="G416:G420" si="177">H416/F416</f>
        <v>236.3294117647059</v>
      </c>
      <c r="H416" s="248">
        <f>'Appendix J-2'!AB25</f>
        <v>40176</v>
      </c>
      <c r="I416" s="688"/>
      <c r="J416" s="205"/>
    </row>
    <row r="417" spans="1:13" x14ac:dyDescent="0.25">
      <c r="A417" s="21">
        <f>A$10</f>
        <v>1592</v>
      </c>
      <c r="B417" s="149">
        <f t="shared" si="175"/>
        <v>4.1884816753926704E-2</v>
      </c>
      <c r="C417" s="52">
        <f t="shared" si="176"/>
        <v>6</v>
      </c>
      <c r="D417" s="249">
        <f>'Appendix J-2'!AC25</f>
        <v>170</v>
      </c>
      <c r="E417" s="23">
        <f t="shared" si="174"/>
        <v>1.0176470588235293</v>
      </c>
      <c r="F417" s="249">
        <f>'Appendix J-2'!AE25</f>
        <v>173</v>
      </c>
      <c r="G417" s="25">
        <f t="shared" si="177"/>
        <v>238.88670520231216</v>
      </c>
      <c r="H417" s="248">
        <f>'Appendix J-2'!AG25</f>
        <v>41327.4</v>
      </c>
      <c r="I417" s="688"/>
      <c r="J417" s="205"/>
    </row>
    <row r="418" spans="1:13" x14ac:dyDescent="0.25">
      <c r="A418" s="21">
        <f>A$11</f>
        <v>1642</v>
      </c>
      <c r="B418" s="149">
        <f t="shared" si="175"/>
        <v>3.1407035175879394E-2</v>
      </c>
      <c r="C418" s="20">
        <f t="shared" si="176"/>
        <v>7</v>
      </c>
      <c r="D418" s="249">
        <f>'Appendix J-2'!AH25</f>
        <v>137</v>
      </c>
      <c r="E418" s="23">
        <f t="shared" si="174"/>
        <v>1</v>
      </c>
      <c r="F418" s="249">
        <f>'Appendix J-2'!AJ25</f>
        <v>137</v>
      </c>
      <c r="G418" s="25">
        <f t="shared" si="177"/>
        <v>238.75912408759123</v>
      </c>
      <c r="H418" s="248">
        <f>'Appendix J-2'!AL25</f>
        <v>32710</v>
      </c>
      <c r="I418" s="688"/>
      <c r="J418" s="205"/>
    </row>
    <row r="419" spans="1:13" x14ac:dyDescent="0.25">
      <c r="A419" s="21">
        <f>A$12</f>
        <v>1675</v>
      </c>
      <c r="B419" s="149">
        <f t="shared" si="175"/>
        <v>2.0097442143727162E-2</v>
      </c>
      <c r="C419" s="20">
        <f t="shared" si="176"/>
        <v>8</v>
      </c>
      <c r="D419" s="249">
        <f>'Appendix J-2'!AM25</f>
        <v>97</v>
      </c>
      <c r="E419" s="23">
        <f t="shared" si="174"/>
        <v>1.0103092783505154</v>
      </c>
      <c r="F419" s="249">
        <f>'Appendix J-2'!AO25</f>
        <v>98</v>
      </c>
      <c r="G419" s="25">
        <f t="shared" si="177"/>
        <v>236.39061224489794</v>
      </c>
      <c r="H419" s="248">
        <f>'Appendix J-2'!AQ25</f>
        <v>23166.28</v>
      </c>
      <c r="I419" s="688"/>
      <c r="J419" s="205"/>
    </row>
    <row r="420" spans="1:13" x14ac:dyDescent="0.25">
      <c r="A420" s="21">
        <f>A$13</f>
        <v>1739</v>
      </c>
      <c r="B420" s="149">
        <f t="shared" si="175"/>
        <v>3.8208955223880597E-2</v>
      </c>
      <c r="C420" s="20">
        <f t="shared" si="176"/>
        <v>9</v>
      </c>
      <c r="D420" s="249">
        <f>'Appendix J-2'!AR25</f>
        <v>86</v>
      </c>
      <c r="E420" s="23">
        <f t="shared" si="174"/>
        <v>1</v>
      </c>
      <c r="F420" s="249">
        <f>'Appendix J-2'!AT25</f>
        <v>86</v>
      </c>
      <c r="G420" s="25">
        <f t="shared" si="177"/>
        <v>242.98116279069768</v>
      </c>
      <c r="H420" s="248">
        <f>'Appendix J-2'!AV25</f>
        <v>20896.38</v>
      </c>
      <c r="I420" s="688"/>
      <c r="J420" s="205"/>
    </row>
    <row r="421" spans="1:13" x14ac:dyDescent="0.25">
      <c r="A421" s="21">
        <f>A$14</f>
        <v>1752</v>
      </c>
      <c r="B421" s="149">
        <f t="shared" si="175"/>
        <v>7.4755606670500289E-3</v>
      </c>
      <c r="C421" s="20">
        <f t="shared" si="176"/>
        <v>10</v>
      </c>
      <c r="D421" s="21">
        <f>ROUND(AVERAGE($D$416:$D$420),0)</f>
        <v>131</v>
      </c>
      <c r="E421" s="22">
        <f>IF(TREND($E$412:$E$420,$C$412:$C$420,C421)&gt;1,TREND($E$412:$E$420,$C$412:$C$420,C421),1)</f>
        <v>1</v>
      </c>
      <c r="F421" s="21">
        <f>D421*E421</f>
        <v>131</v>
      </c>
      <c r="G421" s="24">
        <f>'DDS Rates for Amend'!V17</f>
        <v>248.8</v>
      </c>
      <c r="H421" s="33">
        <f>F421*G421</f>
        <v>32592.800000000003</v>
      </c>
      <c r="I421" s="688"/>
      <c r="J421" s="205"/>
    </row>
    <row r="422" spans="1:13" x14ac:dyDescent="0.25">
      <c r="A422" s="21">
        <f>A$15</f>
        <v>1822</v>
      </c>
      <c r="B422" s="149">
        <f t="shared" si="175"/>
        <v>3.9954337899543377E-2</v>
      </c>
      <c r="C422" s="20">
        <f t="shared" si="176"/>
        <v>11</v>
      </c>
      <c r="D422" s="21">
        <f t="shared" ref="D422:D426" si="178">ROUND(AVERAGE($D$416:$D$420),0)</f>
        <v>131</v>
      </c>
      <c r="E422" s="22">
        <f t="shared" ref="E422:E426" si="179">IF(TREND($E$412:$E$420,$C$412:$C$420,C422)&gt;1,TREND($E$412:$E$420,$C$412:$C$420,C422),1)</f>
        <v>1</v>
      </c>
      <c r="F422" s="21">
        <f t="shared" ref="F422:F426" si="180">D422*E422</f>
        <v>131</v>
      </c>
      <c r="G422" s="24">
        <f>'DDS Rates for Amend'!V18</f>
        <v>255.2688</v>
      </c>
      <c r="H422" s="33">
        <f t="shared" ref="H422:H426" si="181">F422*G422</f>
        <v>33440.212800000001</v>
      </c>
      <c r="I422" s="688"/>
      <c r="J422" s="205"/>
    </row>
    <row r="423" spans="1:13" x14ac:dyDescent="0.25">
      <c r="A423" s="21">
        <f>A$16</f>
        <v>1872</v>
      </c>
      <c r="B423" s="149">
        <f t="shared" si="175"/>
        <v>2.7442371020856202E-2</v>
      </c>
      <c r="C423" s="20">
        <f t="shared" si="176"/>
        <v>12</v>
      </c>
      <c r="D423" s="21">
        <f t="shared" si="178"/>
        <v>131</v>
      </c>
      <c r="E423" s="22">
        <f t="shared" si="179"/>
        <v>1</v>
      </c>
      <c r="F423" s="21">
        <f t="shared" si="180"/>
        <v>131</v>
      </c>
      <c r="G423" s="24">
        <f>'DDS Rates for Amend'!V19</f>
        <v>261.90578879999998</v>
      </c>
      <c r="H423" s="33">
        <f t="shared" si="181"/>
        <v>34309.658332799998</v>
      </c>
      <c r="I423" s="688"/>
      <c r="J423" s="205"/>
    </row>
    <row r="424" spans="1:13" x14ac:dyDescent="0.25">
      <c r="A424" s="21">
        <f>A$17</f>
        <v>1902</v>
      </c>
      <c r="B424" s="149">
        <f t="shared" si="175"/>
        <v>1.6025641025641024E-2</v>
      </c>
      <c r="C424" s="20">
        <f t="shared" si="176"/>
        <v>13</v>
      </c>
      <c r="D424" s="21">
        <f t="shared" si="178"/>
        <v>131</v>
      </c>
      <c r="E424" s="22">
        <f t="shared" si="179"/>
        <v>1</v>
      </c>
      <c r="F424" s="21">
        <f t="shared" si="180"/>
        <v>131</v>
      </c>
      <c r="G424" s="24">
        <f>'DDS Rates for Amend'!V20</f>
        <v>268.71533930879997</v>
      </c>
      <c r="H424" s="33">
        <f t="shared" si="181"/>
        <v>35201.709449452799</v>
      </c>
      <c r="I424" s="688"/>
      <c r="J424" s="205"/>
    </row>
    <row r="425" spans="1:13" x14ac:dyDescent="0.25">
      <c r="A425" s="21">
        <f>A$18</f>
        <v>1932</v>
      </c>
      <c r="B425" s="149">
        <f t="shared" si="175"/>
        <v>1.5772870662460567E-2</v>
      </c>
      <c r="C425" s="20">
        <f t="shared" si="176"/>
        <v>14</v>
      </c>
      <c r="D425" s="21">
        <f t="shared" si="178"/>
        <v>131</v>
      </c>
      <c r="E425" s="22">
        <f t="shared" si="179"/>
        <v>1</v>
      </c>
      <c r="F425" s="21">
        <f t="shared" si="180"/>
        <v>131</v>
      </c>
      <c r="G425" s="24">
        <f>'DDS Rates for Amend'!V21</f>
        <v>275.70193813082875</v>
      </c>
      <c r="H425" s="33">
        <f t="shared" si="181"/>
        <v>36116.953895138569</v>
      </c>
      <c r="I425" s="688"/>
      <c r="J425" s="205"/>
    </row>
    <row r="426" spans="1:13" x14ac:dyDescent="0.25">
      <c r="A426" s="21">
        <f>A$19</f>
        <v>1962</v>
      </c>
      <c r="B426" s="149">
        <f t="shared" si="175"/>
        <v>1.5527950310559006E-2</v>
      </c>
      <c r="C426" s="20">
        <f t="shared" si="176"/>
        <v>15</v>
      </c>
      <c r="D426" s="21">
        <f t="shared" si="178"/>
        <v>131</v>
      </c>
      <c r="E426" s="22">
        <f t="shared" si="179"/>
        <v>1</v>
      </c>
      <c r="F426" s="21">
        <f t="shared" si="180"/>
        <v>131</v>
      </c>
      <c r="G426" s="24">
        <f>'DDS Rates for Amend'!V22</f>
        <v>282.87018852223031</v>
      </c>
      <c r="H426" s="33">
        <f t="shared" si="181"/>
        <v>37055.99469641217</v>
      </c>
      <c r="I426" s="689"/>
      <c r="J426" s="205"/>
      <c r="K426" s="285">
        <f>SUM(H412:H426)</f>
        <v>616348.78917380353</v>
      </c>
      <c r="L426" s="17">
        <f>IF(K426='Appendix J-2'!CD25,0,error)</f>
        <v>0</v>
      </c>
      <c r="M426" s="17" t="s">
        <v>349</v>
      </c>
    </row>
    <row r="427" spans="1:13" x14ac:dyDescent="0.25">
      <c r="C427"/>
      <c r="I427" s="568"/>
      <c r="J427"/>
    </row>
    <row r="428" spans="1:13" x14ac:dyDescent="0.25">
      <c r="A428" s="271" t="s">
        <v>213</v>
      </c>
      <c r="B428" s="272"/>
      <c r="C428" s="272"/>
      <c r="D428" s="292" t="str">
        <f>'Appendix J-2'!B26</f>
        <v>Assessment</v>
      </c>
      <c r="E428" s="223" t="str">
        <f>'Appendix J-2'!C26</f>
        <v>15 minutes</v>
      </c>
      <c r="F428" s="690"/>
      <c r="G428" s="690"/>
      <c r="H428" s="690"/>
      <c r="I428" s="687" t="s">
        <v>1066</v>
      </c>
      <c r="J428" s="205"/>
    </row>
    <row r="429" spans="1:13" x14ac:dyDescent="0.25">
      <c r="A429" s="147" t="s">
        <v>26</v>
      </c>
      <c r="B429" s="147" t="s">
        <v>27</v>
      </c>
      <c r="C429" s="50" t="s">
        <v>166</v>
      </c>
      <c r="D429" s="91" t="s">
        <v>154</v>
      </c>
      <c r="E429" s="89" t="s">
        <v>155</v>
      </c>
      <c r="F429" s="34" t="s">
        <v>158</v>
      </c>
      <c r="G429" s="35" t="s">
        <v>156</v>
      </c>
      <c r="H429" s="51" t="s">
        <v>157</v>
      </c>
      <c r="I429" s="688"/>
      <c r="J429" s="205"/>
    </row>
    <row r="430" spans="1:13" ht="15" customHeight="1" x14ac:dyDescent="0.25">
      <c r="A430" s="21">
        <f>A$5</f>
        <v>1182</v>
      </c>
      <c r="B430" s="148"/>
      <c r="C430" s="144">
        <v>1</v>
      </c>
      <c r="D430" s="247">
        <f>'Appendix J-2'!D26</f>
        <v>197</v>
      </c>
      <c r="E430" s="22">
        <f>IF(F430=0,0,F430/D430)</f>
        <v>31.598984771573605</v>
      </c>
      <c r="F430" s="247">
        <f>'Appendix J-2'!F26</f>
        <v>6225</v>
      </c>
      <c r="G430" s="24">
        <f>H430/F430</f>
        <v>21.884939759036143</v>
      </c>
      <c r="H430" s="250">
        <f>'Appendix J-2'!H26</f>
        <v>136233.75</v>
      </c>
      <c r="I430" s="688"/>
      <c r="J430" s="205"/>
    </row>
    <row r="431" spans="1:13" x14ac:dyDescent="0.25">
      <c r="A431" s="21">
        <f>A$6</f>
        <v>1288</v>
      </c>
      <c r="B431" s="149">
        <f>(A431-A430)/A430</f>
        <v>8.9678510998307953E-2</v>
      </c>
      <c r="C431" s="52">
        <v>2</v>
      </c>
      <c r="D431" s="247">
        <f>'Appendix J-2'!I26</f>
        <v>311</v>
      </c>
      <c r="E431" s="22">
        <f t="shared" ref="E431:E438" si="182">IF(F431=0,0,F431/D431)</f>
        <v>63.475884244372992</v>
      </c>
      <c r="F431" s="247">
        <f>'Appendix J-2'!K26</f>
        <v>19741</v>
      </c>
      <c r="G431" s="24">
        <f t="shared" ref="G431:G438" si="183">H431/F431</f>
        <v>24.259518261486257</v>
      </c>
      <c r="H431" s="250">
        <f>'Appendix J-2'!M26</f>
        <v>478907.1500000002</v>
      </c>
      <c r="I431" s="688"/>
      <c r="J431" s="205"/>
    </row>
    <row r="432" spans="1:13" x14ac:dyDescent="0.25">
      <c r="A432" s="21">
        <f>A$7</f>
        <v>1495</v>
      </c>
      <c r="B432" s="149">
        <f t="shared" ref="B432:B444" si="184">(A432-A431)/A431</f>
        <v>0.16071428571428573</v>
      </c>
      <c r="C432" s="52">
        <v>3</v>
      </c>
      <c r="D432" s="247">
        <f>'Appendix J-2'!N26</f>
        <v>368</v>
      </c>
      <c r="E432" s="22">
        <f t="shared" si="182"/>
        <v>98.448369565217391</v>
      </c>
      <c r="F432" s="247">
        <f>'Appendix J-2'!P26</f>
        <v>36229</v>
      </c>
      <c r="G432" s="24">
        <f t="shared" si="183"/>
        <v>24.771831957823842</v>
      </c>
      <c r="H432" s="248">
        <f>'Appendix J-2'!R26</f>
        <v>897458.7</v>
      </c>
      <c r="I432" s="688"/>
      <c r="J432" s="205"/>
    </row>
    <row r="433" spans="1:12" x14ac:dyDescent="0.25">
      <c r="A433" s="21">
        <f>A$8</f>
        <v>1484</v>
      </c>
      <c r="B433" s="149">
        <f t="shared" si="184"/>
        <v>-7.3578595317725752E-3</v>
      </c>
      <c r="C433" s="52">
        <f t="shared" ref="C433:C444" si="185">C432+1</f>
        <v>4</v>
      </c>
      <c r="D433" s="247">
        <f>'Appendix J-2'!S26</f>
        <v>410</v>
      </c>
      <c r="E433" s="22">
        <f t="shared" si="182"/>
        <v>90.743902439024396</v>
      </c>
      <c r="F433" s="247">
        <f>'Appendix J-2'!U26</f>
        <v>37205</v>
      </c>
      <c r="G433" s="24">
        <f t="shared" si="183"/>
        <v>24.404520897728798</v>
      </c>
      <c r="H433" s="248">
        <f>'Appendix J-2'!W26</f>
        <v>907970.2</v>
      </c>
      <c r="I433" s="688"/>
      <c r="J433" s="205"/>
    </row>
    <row r="434" spans="1:12" x14ac:dyDescent="0.25">
      <c r="A434" s="21">
        <f>A$9</f>
        <v>1528</v>
      </c>
      <c r="B434" s="149">
        <f t="shared" si="184"/>
        <v>2.9649595687331536E-2</v>
      </c>
      <c r="C434" s="52">
        <f t="shared" si="185"/>
        <v>5</v>
      </c>
      <c r="D434" s="247">
        <f>'Appendix J-2'!X26</f>
        <v>422</v>
      </c>
      <c r="E434" s="22">
        <f t="shared" si="182"/>
        <v>71.009478672985779</v>
      </c>
      <c r="F434" s="247">
        <f>'Appendix J-2'!Z26</f>
        <v>29966</v>
      </c>
      <c r="G434" s="24">
        <f t="shared" si="183"/>
        <v>24.908610758860043</v>
      </c>
      <c r="H434" s="248">
        <f>'Appendix J-2'!AB26</f>
        <v>746411.43</v>
      </c>
      <c r="I434" s="688"/>
      <c r="J434" s="205"/>
    </row>
    <row r="435" spans="1:12" x14ac:dyDescent="0.25">
      <c r="A435" s="21">
        <f>A$10</f>
        <v>1592</v>
      </c>
      <c r="B435" s="149">
        <f t="shared" si="184"/>
        <v>4.1884816753926704E-2</v>
      </c>
      <c r="C435" s="20">
        <f t="shared" si="185"/>
        <v>6</v>
      </c>
      <c r="D435" s="249">
        <f>'Appendix J-2'!AC26</f>
        <v>911</v>
      </c>
      <c r="E435" s="22">
        <f t="shared" si="182"/>
        <v>50.729967069154775</v>
      </c>
      <c r="F435" s="249">
        <f>'Appendix J-2'!AE26</f>
        <v>46215</v>
      </c>
      <c r="G435" s="24">
        <f t="shared" si="183"/>
        <v>25.730522557611167</v>
      </c>
      <c r="H435" s="248">
        <f>'Appendix J-2'!AG26</f>
        <v>1189136.1000000001</v>
      </c>
      <c r="I435" s="688"/>
      <c r="J435" s="205"/>
    </row>
    <row r="436" spans="1:12" x14ac:dyDescent="0.25">
      <c r="A436" s="21">
        <f>A$11</f>
        <v>1642</v>
      </c>
      <c r="B436" s="149">
        <f t="shared" si="184"/>
        <v>3.1407035175879394E-2</v>
      </c>
      <c r="C436" s="20">
        <f t="shared" si="185"/>
        <v>7</v>
      </c>
      <c r="D436" s="249">
        <f>'Appendix J-2'!AH26</f>
        <v>864</v>
      </c>
      <c r="E436" s="22">
        <f t="shared" si="182"/>
        <v>55.611111111111114</v>
      </c>
      <c r="F436" s="249">
        <f>'Appendix J-2'!AJ26</f>
        <v>48048</v>
      </c>
      <c r="G436" s="24">
        <f t="shared" si="183"/>
        <v>25.63341595904096</v>
      </c>
      <c r="H436" s="248">
        <f>'Appendix J-2'!AL26</f>
        <v>1231634.3700000001</v>
      </c>
      <c r="I436" s="688"/>
      <c r="J436" s="205"/>
    </row>
    <row r="437" spans="1:12" x14ac:dyDescent="0.25">
      <c r="A437" s="21">
        <f>A$12</f>
        <v>1675</v>
      </c>
      <c r="B437" s="149">
        <f t="shared" si="184"/>
        <v>2.0097442143727162E-2</v>
      </c>
      <c r="C437" s="20">
        <f t="shared" si="185"/>
        <v>8</v>
      </c>
      <c r="D437" s="249">
        <f>'Appendix J-2'!AM26</f>
        <v>527</v>
      </c>
      <c r="E437" s="22">
        <f t="shared" si="182"/>
        <v>85.950664136622393</v>
      </c>
      <c r="F437" s="249">
        <f>'Appendix J-2'!AO26</f>
        <v>45296</v>
      </c>
      <c r="G437" s="24">
        <f t="shared" si="183"/>
        <v>25.482208362769342</v>
      </c>
      <c r="H437" s="248">
        <f>'Appendix J-2'!AQ26</f>
        <v>1154242.1100000001</v>
      </c>
      <c r="I437" s="688"/>
      <c r="J437" s="205"/>
    </row>
    <row r="438" spans="1:12" x14ac:dyDescent="0.25">
      <c r="A438" s="21">
        <f>A$13</f>
        <v>1739</v>
      </c>
      <c r="B438" s="149">
        <f t="shared" si="184"/>
        <v>3.8208955223880597E-2</v>
      </c>
      <c r="C438" s="20">
        <f t="shared" si="185"/>
        <v>9</v>
      </c>
      <c r="D438" s="249">
        <f>'Appendix J-2'!AR26</f>
        <v>502</v>
      </c>
      <c r="E438" s="22">
        <f t="shared" si="182"/>
        <v>84.177290836653384</v>
      </c>
      <c r="F438" s="249">
        <f>'Appendix J-2'!AT26</f>
        <v>42257</v>
      </c>
      <c r="G438" s="24">
        <f t="shared" si="183"/>
        <v>26.004745249307806</v>
      </c>
      <c r="H438" s="248">
        <f>'Appendix J-2'!AV26</f>
        <v>1098882.52</v>
      </c>
      <c r="I438" s="688"/>
      <c r="J438" s="205"/>
    </row>
    <row r="439" spans="1:12" x14ac:dyDescent="0.25">
      <c r="A439" s="21">
        <f>A$14</f>
        <v>1752</v>
      </c>
      <c r="B439" s="149">
        <f t="shared" si="184"/>
        <v>7.4755606670500289E-3</v>
      </c>
      <c r="C439" s="20">
        <f t="shared" si="185"/>
        <v>10</v>
      </c>
      <c r="D439" s="21">
        <f>ROUND((TREND($D$437:$D$438,$A$437:$A$438,A439)),0)</f>
        <v>497</v>
      </c>
      <c r="E439" s="22">
        <f>IF(TREND($E$430:$E$438,$C$430:$C$438,C439)&lt;8760,TREND($E$430:$E$438,$C$430:$C$438,C439),8760)</f>
        <v>82.864720732328294</v>
      </c>
      <c r="F439" s="21">
        <f>D439*E439</f>
        <v>41183.766203967163</v>
      </c>
      <c r="G439" s="24">
        <f>'DDS Rates for Amend'!W17</f>
        <v>26.66</v>
      </c>
      <c r="H439" s="33">
        <f>F439*G439</f>
        <v>1097959.2069977645</v>
      </c>
      <c r="I439" s="688"/>
      <c r="J439" s="205"/>
    </row>
    <row r="440" spans="1:12" x14ac:dyDescent="0.25">
      <c r="A440" s="21">
        <f>A$15</f>
        <v>1822</v>
      </c>
      <c r="B440" s="149">
        <f t="shared" si="184"/>
        <v>3.9954337899543377E-2</v>
      </c>
      <c r="C440" s="20">
        <f t="shared" si="185"/>
        <v>11</v>
      </c>
      <c r="D440" s="21">
        <f t="shared" ref="D440:D444" si="186">ROUND((TREND($D$437:$D$438,$A$437:$A$438,A440)),0)</f>
        <v>470</v>
      </c>
      <c r="E440" s="22">
        <f t="shared" ref="E440:E444" si="187">IF(TREND($E$430:$E$438,$C$430:$C$438,C440)&lt;8760,TREND($E$430:$E$438,$C$430:$C$438,C440),8760)</f>
        <v>85.398872593311381</v>
      </c>
      <c r="F440" s="21">
        <f t="shared" ref="F440:F444" si="188">D440*E440</f>
        <v>40137.470118856349</v>
      </c>
      <c r="G440" s="24">
        <f>'DDS Rates for Amend'!W18</f>
        <v>27.353159999999999</v>
      </c>
      <c r="H440" s="33">
        <f t="shared" ref="H440:H444" si="189">F440*G440</f>
        <v>1097886.6421562966</v>
      </c>
      <c r="I440" s="688"/>
      <c r="J440" s="205"/>
    </row>
    <row r="441" spans="1:12" x14ac:dyDescent="0.25">
      <c r="A441" s="21">
        <f>A$16</f>
        <v>1872</v>
      </c>
      <c r="B441" s="149">
        <f t="shared" si="184"/>
        <v>2.7442371020856202E-2</v>
      </c>
      <c r="C441" s="20">
        <f t="shared" si="185"/>
        <v>12</v>
      </c>
      <c r="D441" s="21">
        <f t="shared" si="186"/>
        <v>450</v>
      </c>
      <c r="E441" s="22">
        <f t="shared" si="187"/>
        <v>87.933024454294468</v>
      </c>
      <c r="F441" s="21">
        <f t="shared" si="188"/>
        <v>39569.861004432511</v>
      </c>
      <c r="G441" s="24">
        <f>'DDS Rates for Amend'!W19</f>
        <v>28.064342159999999</v>
      </c>
      <c r="H441" s="33">
        <f t="shared" si="189"/>
        <v>1110502.1184520351</v>
      </c>
      <c r="I441" s="688"/>
      <c r="J441" s="205"/>
    </row>
    <row r="442" spans="1:12" x14ac:dyDescent="0.25">
      <c r="A442" s="21">
        <f>A$17</f>
        <v>1902</v>
      </c>
      <c r="B442" s="149">
        <f t="shared" si="184"/>
        <v>1.6025641025641024E-2</v>
      </c>
      <c r="C442" s="20">
        <f t="shared" si="185"/>
        <v>13</v>
      </c>
      <c r="D442" s="21">
        <f t="shared" si="186"/>
        <v>438</v>
      </c>
      <c r="E442" s="22">
        <f t="shared" si="187"/>
        <v>90.467176315277555</v>
      </c>
      <c r="F442" s="21">
        <f t="shared" si="188"/>
        <v>39624.623226091571</v>
      </c>
      <c r="G442" s="24">
        <f>'DDS Rates for Amend'!W20</f>
        <v>28.794015056159999</v>
      </c>
      <c r="H442" s="33">
        <f t="shared" si="189"/>
        <v>1140951.9977667478</v>
      </c>
      <c r="I442" s="688"/>
      <c r="J442" s="205"/>
    </row>
    <row r="443" spans="1:12" x14ac:dyDescent="0.25">
      <c r="A443" s="21">
        <f>A$18</f>
        <v>1932</v>
      </c>
      <c r="B443" s="149">
        <f t="shared" si="184"/>
        <v>1.5772870662460567E-2</v>
      </c>
      <c r="C443" s="20">
        <f t="shared" si="185"/>
        <v>14</v>
      </c>
      <c r="D443" s="21">
        <f t="shared" si="186"/>
        <v>427</v>
      </c>
      <c r="E443" s="22">
        <f t="shared" si="187"/>
        <v>93.001328176260643</v>
      </c>
      <c r="F443" s="21">
        <f t="shared" si="188"/>
        <v>39711.567131263291</v>
      </c>
      <c r="G443" s="24">
        <f>'DDS Rates for Amend'!W21</f>
        <v>29.54265944762016</v>
      </c>
      <c r="H443" s="33">
        <f t="shared" si="189"/>
        <v>1173185.3038902178</v>
      </c>
      <c r="I443" s="688"/>
      <c r="J443" s="205"/>
    </row>
    <row r="444" spans="1:12" x14ac:dyDescent="0.25">
      <c r="A444" s="21">
        <f>A$19</f>
        <v>1962</v>
      </c>
      <c r="B444" s="149">
        <f t="shared" si="184"/>
        <v>1.5527950310559006E-2</v>
      </c>
      <c r="C444" s="20">
        <f t="shared" si="185"/>
        <v>15</v>
      </c>
      <c r="D444" s="21">
        <f t="shared" si="186"/>
        <v>415</v>
      </c>
      <c r="E444" s="22">
        <f t="shared" si="187"/>
        <v>95.53548003724373</v>
      </c>
      <c r="F444" s="21">
        <f t="shared" si="188"/>
        <v>39647.224215456146</v>
      </c>
      <c r="G444" s="24">
        <f>'DDS Rates for Amend'!W22</f>
        <v>30.310768593258285</v>
      </c>
      <c r="H444" s="33">
        <f t="shared" si="189"/>
        <v>1201737.8385597174</v>
      </c>
      <c r="I444" s="689"/>
      <c r="J444" s="205"/>
      <c r="K444" s="285">
        <f>SUM(H430:H444)</f>
        <v>14663099.43782278</v>
      </c>
      <c r="L444" s="17">
        <f>IF(K444='Appendix J-2'!CD26,0,error)</f>
        <v>0</v>
      </c>
    </row>
    <row r="445" spans="1:12" x14ac:dyDescent="0.25">
      <c r="C445"/>
      <c r="I445" s="568"/>
      <c r="J445"/>
    </row>
    <row r="446" spans="1:12" ht="15" customHeight="1" x14ac:dyDescent="0.25">
      <c r="A446" s="272" t="s">
        <v>56</v>
      </c>
      <c r="B446" s="272"/>
      <c r="C446" s="272"/>
      <c r="D446" s="292" t="str">
        <f>'Appendix J-2'!B27</f>
        <v>Assessment</v>
      </c>
      <c r="E446" s="223" t="str">
        <f>'Appendix J-2'!C27</f>
        <v>15 minutes</v>
      </c>
      <c r="F446" s="690"/>
      <c r="G446" s="690"/>
      <c r="H446" s="690"/>
      <c r="I446" s="687" t="s">
        <v>1066</v>
      </c>
      <c r="J446" s="205"/>
    </row>
    <row r="447" spans="1:12" x14ac:dyDescent="0.25">
      <c r="A447" s="147" t="s">
        <v>26</v>
      </c>
      <c r="B447" s="147" t="s">
        <v>27</v>
      </c>
      <c r="C447" s="50" t="s">
        <v>166</v>
      </c>
      <c r="D447" s="91" t="s">
        <v>154</v>
      </c>
      <c r="E447" s="89" t="s">
        <v>155</v>
      </c>
      <c r="F447" s="34" t="s">
        <v>158</v>
      </c>
      <c r="G447" s="35" t="s">
        <v>156</v>
      </c>
      <c r="H447" s="51" t="s">
        <v>157</v>
      </c>
      <c r="I447" s="688"/>
      <c r="J447" s="205"/>
    </row>
    <row r="448" spans="1:12" ht="15" customHeight="1" x14ac:dyDescent="0.25">
      <c r="A448" s="21">
        <f>A$5</f>
        <v>1182</v>
      </c>
      <c r="B448" s="148"/>
      <c r="C448" s="144">
        <v>1</v>
      </c>
      <c r="D448" s="247">
        <f>'Appendix J-2'!D27</f>
        <v>150</v>
      </c>
      <c r="E448" s="22">
        <f>IF(F448=0,0,F448/D448)</f>
        <v>49.56666666666667</v>
      </c>
      <c r="F448" s="247">
        <f>'linked - DO NOT USE or DELETE'!F31</f>
        <v>7435</v>
      </c>
      <c r="G448" s="24">
        <f>H448/F448</f>
        <v>15.119031607262945</v>
      </c>
      <c r="H448" s="250">
        <f>'linked - DO NOT USE or DELETE'!H31</f>
        <v>112410</v>
      </c>
      <c r="I448" s="688"/>
      <c r="J448" s="205"/>
    </row>
    <row r="449" spans="1:12" x14ac:dyDescent="0.25">
      <c r="A449" s="21">
        <f>A$6</f>
        <v>1288</v>
      </c>
      <c r="B449" s="149">
        <f>(A449-A448)/A448</f>
        <v>8.9678510998307953E-2</v>
      </c>
      <c r="C449" s="52">
        <v>2</v>
      </c>
      <c r="D449" s="247">
        <f>'Appendix J-2'!I27</f>
        <v>193</v>
      </c>
      <c r="E449" s="22">
        <f t="shared" ref="E449:E456" si="190">IF(F449=0,0,F449/D449)</f>
        <v>93.787564766839381</v>
      </c>
      <c r="F449" s="247">
        <f>'linked - DO NOT USE or DELETE'!K31</f>
        <v>18101</v>
      </c>
      <c r="G449" s="24">
        <f t="shared" ref="G449:G456" si="191">H449/F449</f>
        <v>14.602231920888348</v>
      </c>
      <c r="H449" s="250">
        <f>'linked - DO NOT USE or DELETE'!M31</f>
        <v>264315</v>
      </c>
      <c r="I449" s="688"/>
      <c r="J449" s="205"/>
    </row>
    <row r="450" spans="1:12" x14ac:dyDescent="0.25">
      <c r="A450" s="21">
        <f>A$7</f>
        <v>1495</v>
      </c>
      <c r="B450" s="149">
        <f t="shared" ref="B450:B462" si="192">(A450-A449)/A449</f>
        <v>0.16071428571428573</v>
      </c>
      <c r="C450" s="52">
        <v>3</v>
      </c>
      <c r="D450" s="247">
        <f>'Appendix J-2'!N27</f>
        <v>232</v>
      </c>
      <c r="E450" s="22">
        <f t="shared" si="190"/>
        <v>113.49568965517241</v>
      </c>
      <c r="F450" s="247">
        <f>'linked - DO NOT USE or DELETE'!P31</f>
        <v>26331</v>
      </c>
      <c r="G450" s="24">
        <f t="shared" si="191"/>
        <v>14.768713683490942</v>
      </c>
      <c r="H450" s="248">
        <f>'linked - DO NOT USE or DELETE'!R31</f>
        <v>388875</v>
      </c>
      <c r="I450" s="688"/>
      <c r="J450" s="205"/>
    </row>
    <row r="451" spans="1:12" x14ac:dyDescent="0.25">
      <c r="A451" s="21">
        <f>A$8</f>
        <v>1484</v>
      </c>
      <c r="B451" s="149">
        <f t="shared" si="192"/>
        <v>-7.3578595317725752E-3</v>
      </c>
      <c r="C451" s="52">
        <f t="shared" ref="C451:C462" si="193">C450+1</f>
        <v>4</v>
      </c>
      <c r="D451" s="247">
        <f>'Appendix J-2'!S27</f>
        <v>184</v>
      </c>
      <c r="E451" s="22">
        <f t="shared" si="190"/>
        <v>99.967391304347828</v>
      </c>
      <c r="F451" s="247">
        <f>'Appendix J-2'!U27</f>
        <v>18394</v>
      </c>
      <c r="G451" s="24">
        <f t="shared" si="191"/>
        <v>14.630096770686093</v>
      </c>
      <c r="H451" s="248">
        <f>'Appendix J-2'!W27</f>
        <v>269106</v>
      </c>
      <c r="I451" s="688"/>
      <c r="J451" s="205"/>
    </row>
    <row r="452" spans="1:12" x14ac:dyDescent="0.25">
      <c r="A452" s="21">
        <f>A$9</f>
        <v>1528</v>
      </c>
      <c r="B452" s="149">
        <f t="shared" si="192"/>
        <v>2.9649595687331536E-2</v>
      </c>
      <c r="C452" s="52">
        <f t="shared" si="193"/>
        <v>5</v>
      </c>
      <c r="D452" s="247">
        <f>'Appendix J-2'!X27</f>
        <v>130</v>
      </c>
      <c r="E452" s="22">
        <f t="shared" si="190"/>
        <v>61.030769230769231</v>
      </c>
      <c r="F452" s="247">
        <f>'Appendix J-2'!Z27</f>
        <v>7934</v>
      </c>
      <c r="G452" s="24">
        <f t="shared" si="191"/>
        <v>15</v>
      </c>
      <c r="H452" s="248">
        <f>'Appendix J-2'!AB27</f>
        <v>119010</v>
      </c>
      <c r="I452" s="688"/>
      <c r="J452" s="205"/>
    </row>
    <row r="453" spans="1:12" x14ac:dyDescent="0.25">
      <c r="A453" s="21">
        <f>A$10</f>
        <v>1592</v>
      </c>
      <c r="B453" s="149">
        <f t="shared" si="192"/>
        <v>4.1884816753926704E-2</v>
      </c>
      <c r="C453" s="20">
        <f t="shared" si="193"/>
        <v>6</v>
      </c>
      <c r="D453" s="249">
        <f>'Appendix J-2'!AC27</f>
        <v>186</v>
      </c>
      <c r="E453" s="22">
        <f t="shared" si="190"/>
        <v>56.526881720430104</v>
      </c>
      <c r="F453" s="249">
        <f>'Appendix J-2'!AE27</f>
        <v>10514</v>
      </c>
      <c r="G453" s="24">
        <f t="shared" si="191"/>
        <v>14.914066958341259</v>
      </c>
      <c r="H453" s="248">
        <f>'Appendix J-2'!AG27</f>
        <v>156806.5</v>
      </c>
      <c r="I453" s="688"/>
      <c r="J453" s="205"/>
    </row>
    <row r="454" spans="1:12" x14ac:dyDescent="0.25">
      <c r="A454" s="21">
        <f>A$11</f>
        <v>1642</v>
      </c>
      <c r="B454" s="149">
        <f t="shared" si="192"/>
        <v>3.1407035175879394E-2</v>
      </c>
      <c r="C454" s="20">
        <f t="shared" si="193"/>
        <v>7</v>
      </c>
      <c r="D454" s="249">
        <f>'Appendix J-2'!AH27</f>
        <v>224</v>
      </c>
      <c r="E454" s="22">
        <f t="shared" si="190"/>
        <v>52.15625</v>
      </c>
      <c r="F454" s="249">
        <f>'Appendix J-2'!AJ27</f>
        <v>11683</v>
      </c>
      <c r="G454" s="24">
        <f t="shared" si="191"/>
        <v>14.926688350594882</v>
      </c>
      <c r="H454" s="248">
        <f>'Appendix J-2'!AL27</f>
        <v>174388.5</v>
      </c>
      <c r="I454" s="688"/>
      <c r="J454" s="205"/>
    </row>
    <row r="455" spans="1:12" x14ac:dyDescent="0.25">
      <c r="A455" s="21">
        <f>A$12</f>
        <v>1675</v>
      </c>
      <c r="B455" s="149">
        <f t="shared" si="192"/>
        <v>2.0097442143727162E-2</v>
      </c>
      <c r="C455" s="20">
        <f t="shared" si="193"/>
        <v>8</v>
      </c>
      <c r="D455" s="249">
        <f>'Appendix J-2'!AM27</f>
        <v>102</v>
      </c>
      <c r="E455" s="22">
        <f t="shared" si="190"/>
        <v>113.24509803921569</v>
      </c>
      <c r="F455" s="249">
        <f>'Appendix J-2'!AO27</f>
        <v>11551</v>
      </c>
      <c r="G455" s="24">
        <f t="shared" si="191"/>
        <v>14.960717686780365</v>
      </c>
      <c r="H455" s="248">
        <f>'Appendix J-2'!AQ27</f>
        <v>172811.25</v>
      </c>
      <c r="I455" s="688"/>
      <c r="J455" s="205"/>
    </row>
    <row r="456" spans="1:12" x14ac:dyDescent="0.25">
      <c r="A456" s="21">
        <f>A$13</f>
        <v>1739</v>
      </c>
      <c r="B456" s="149">
        <f t="shared" si="192"/>
        <v>3.8208955223880597E-2</v>
      </c>
      <c r="C456" s="20">
        <f t="shared" si="193"/>
        <v>9</v>
      </c>
      <c r="D456" s="249">
        <f>'Appendix J-2'!AR27</f>
        <v>105</v>
      </c>
      <c r="E456" s="22">
        <f t="shared" si="190"/>
        <v>78.571428571428569</v>
      </c>
      <c r="F456" s="249">
        <f>'Appendix J-2'!AT27</f>
        <v>8250</v>
      </c>
      <c r="G456" s="24">
        <f t="shared" si="191"/>
        <v>15.712218181818182</v>
      </c>
      <c r="H456" s="248">
        <f>'Appendix J-2'!AV27</f>
        <v>129625.8</v>
      </c>
      <c r="I456" s="688"/>
      <c r="J456" s="205"/>
    </row>
    <row r="457" spans="1:12" x14ac:dyDescent="0.25">
      <c r="A457" s="21">
        <f>A$14</f>
        <v>1752</v>
      </c>
      <c r="B457" s="149">
        <f t="shared" si="192"/>
        <v>7.4755606670500289E-3</v>
      </c>
      <c r="C457" s="20">
        <f t="shared" si="193"/>
        <v>10</v>
      </c>
      <c r="D457" s="21">
        <f>ROUND((TREND($D$455:$D$456,$A$455:$A$456,A457)),0)</f>
        <v>106</v>
      </c>
      <c r="E457" s="22">
        <f>IF(TREND($E$448:$E$456,$C$448:$C$456,C457)&lt;8760,TREND($E$448:$E$456,$C$448:$C$456,C457),8760)</f>
        <v>80.505770429033916</v>
      </c>
      <c r="F457" s="21">
        <f>D457*E457</f>
        <v>8533.6116654775942</v>
      </c>
      <c r="G457" s="24">
        <f>'DDS Rates for Amend'!X17</f>
        <v>16.420000000000002</v>
      </c>
      <c r="H457" s="33">
        <f>F457*G457</f>
        <v>140121.90354714211</v>
      </c>
      <c r="I457" s="688"/>
      <c r="J457" s="205"/>
    </row>
    <row r="458" spans="1:12" x14ac:dyDescent="0.25">
      <c r="A458" s="21">
        <f>A$15</f>
        <v>1822</v>
      </c>
      <c r="B458" s="149">
        <f t="shared" si="192"/>
        <v>3.9954337899543377E-2</v>
      </c>
      <c r="C458" s="20">
        <f t="shared" si="193"/>
        <v>11</v>
      </c>
      <c r="D458" s="21">
        <f t="shared" ref="D458:D462" si="194">ROUND((TREND($D$455:$D$456,$A$455:$A$456,A458)),0)</f>
        <v>109</v>
      </c>
      <c r="E458" s="22">
        <f t="shared" ref="E458:E462" si="195">IF(TREND($E$448:$E$456,$C$448:$C$456,C458)&lt;8760,TREND($E$448:$E$456,$C$448:$C$456,C458),8760)</f>
        <v>80.643641404732477</v>
      </c>
      <c r="F458" s="21">
        <f t="shared" ref="F458:F462" si="196">D458*E458</f>
        <v>8790.1569131158394</v>
      </c>
      <c r="G458" s="24">
        <f>'DDS Rates for Amend'!X18</f>
        <v>16.846920000000001</v>
      </c>
      <c r="H458" s="33">
        <f t="shared" ref="H458:H462" si="197">F458*G458</f>
        <v>148087.0703027095</v>
      </c>
      <c r="I458" s="688"/>
      <c r="J458" s="205"/>
    </row>
    <row r="459" spans="1:12" x14ac:dyDescent="0.25">
      <c r="A459" s="21">
        <f>A$16</f>
        <v>1872</v>
      </c>
      <c r="B459" s="149">
        <f t="shared" si="192"/>
        <v>2.7442371020856202E-2</v>
      </c>
      <c r="C459" s="20">
        <f t="shared" si="193"/>
        <v>12</v>
      </c>
      <c r="D459" s="21">
        <f t="shared" si="194"/>
        <v>111</v>
      </c>
      <c r="E459" s="22">
        <f t="shared" si="195"/>
        <v>80.781512380431053</v>
      </c>
      <c r="F459" s="21">
        <f t="shared" si="196"/>
        <v>8966.7478742278472</v>
      </c>
      <c r="G459" s="24">
        <f>'DDS Rates for Amend'!X19</f>
        <v>17.284939919999999</v>
      </c>
      <c r="H459" s="33">
        <f t="shared" si="197"/>
        <v>154989.69828381605</v>
      </c>
      <c r="I459" s="688"/>
      <c r="J459" s="205"/>
    </row>
    <row r="460" spans="1:12" x14ac:dyDescent="0.25">
      <c r="A460" s="21">
        <f>A$17</f>
        <v>1902</v>
      </c>
      <c r="B460" s="149">
        <f t="shared" si="192"/>
        <v>1.6025641025641024E-2</v>
      </c>
      <c r="C460" s="20">
        <f t="shared" si="193"/>
        <v>13</v>
      </c>
      <c r="D460" s="21">
        <f t="shared" si="194"/>
        <v>113</v>
      </c>
      <c r="E460" s="22">
        <f t="shared" si="195"/>
        <v>80.919383356129615</v>
      </c>
      <c r="F460" s="21">
        <f t="shared" si="196"/>
        <v>9143.890319242646</v>
      </c>
      <c r="G460" s="24">
        <f>'DDS Rates for Amend'!X20</f>
        <v>17.734348357919998</v>
      </c>
      <c r="H460" s="33">
        <f t="shared" si="197"/>
        <v>162160.9362680614</v>
      </c>
      <c r="I460" s="688"/>
      <c r="J460" s="205"/>
    </row>
    <row r="461" spans="1:12" x14ac:dyDescent="0.25">
      <c r="A461" s="21">
        <f>A$18</f>
        <v>1932</v>
      </c>
      <c r="B461" s="149">
        <f t="shared" si="192"/>
        <v>1.5772870662460567E-2</v>
      </c>
      <c r="C461" s="20">
        <f t="shared" si="193"/>
        <v>14</v>
      </c>
      <c r="D461" s="21">
        <f t="shared" si="194"/>
        <v>114</v>
      </c>
      <c r="E461" s="22">
        <f t="shared" si="195"/>
        <v>81.057254331828176</v>
      </c>
      <c r="F461" s="21">
        <f t="shared" si="196"/>
        <v>9240.5269938284127</v>
      </c>
      <c r="G461" s="24">
        <f>'DDS Rates for Amend'!X21</f>
        <v>18.195441415225918</v>
      </c>
      <c r="H461" s="33">
        <f t="shared" si="197"/>
        <v>168135.46756201854</v>
      </c>
      <c r="I461" s="688"/>
      <c r="J461" s="205"/>
    </row>
    <row r="462" spans="1:12" x14ac:dyDescent="0.25">
      <c r="A462" s="21">
        <f>A$19</f>
        <v>1962</v>
      </c>
      <c r="B462" s="149">
        <f t="shared" si="192"/>
        <v>1.5527950310559006E-2</v>
      </c>
      <c r="C462" s="20">
        <f t="shared" si="193"/>
        <v>15</v>
      </c>
      <c r="D462" s="21">
        <f t="shared" si="194"/>
        <v>115</v>
      </c>
      <c r="E462" s="22">
        <f t="shared" si="195"/>
        <v>81.195125307526752</v>
      </c>
      <c r="F462" s="21">
        <f t="shared" si="196"/>
        <v>9337.4394103655759</v>
      </c>
      <c r="G462" s="24">
        <f>'DDS Rates for Amend'!X22</f>
        <v>18.668522892021791</v>
      </c>
      <c r="H462" s="33">
        <f t="shared" si="197"/>
        <v>174316.20138527622</v>
      </c>
      <c r="I462" s="689"/>
      <c r="J462" s="205"/>
      <c r="K462" s="285">
        <f>SUM(H448:H462)</f>
        <v>2735159.3273490239</v>
      </c>
      <c r="L462" s="17">
        <f>IF(K462='Appendix J-2'!CD27,0,error)</f>
        <v>0</v>
      </c>
    </row>
    <row r="463" spans="1:12" x14ac:dyDescent="0.25">
      <c r="C463"/>
      <c r="I463" s="568"/>
      <c r="J463"/>
    </row>
    <row r="464" spans="1:12" x14ac:dyDescent="0.25">
      <c r="A464" s="271" t="s">
        <v>218</v>
      </c>
      <c r="B464" s="272"/>
      <c r="C464" s="272"/>
      <c r="D464" s="292" t="str">
        <f>'Appendix J-2'!B28</f>
        <v>Assessment</v>
      </c>
      <c r="E464" s="223" t="str">
        <f>'Appendix J-2'!C28</f>
        <v>15 minutes</v>
      </c>
      <c r="F464" s="690"/>
      <c r="G464" s="690"/>
      <c r="H464" s="690"/>
      <c r="I464" s="687" t="s">
        <v>1106</v>
      </c>
      <c r="J464" s="205"/>
    </row>
    <row r="465" spans="1:19" x14ac:dyDescent="0.25">
      <c r="A465" s="147" t="s">
        <v>26</v>
      </c>
      <c r="B465" s="147" t="s">
        <v>27</v>
      </c>
      <c r="C465" s="50" t="s">
        <v>166</v>
      </c>
      <c r="D465" s="91" t="s">
        <v>154</v>
      </c>
      <c r="E465" s="89" t="s">
        <v>155</v>
      </c>
      <c r="F465" s="34" t="s">
        <v>158</v>
      </c>
      <c r="G465" s="35" t="s">
        <v>156</v>
      </c>
      <c r="H465" s="51" t="s">
        <v>157</v>
      </c>
      <c r="I465" s="688"/>
      <c r="J465" s="205"/>
    </row>
    <row r="466" spans="1:19" ht="15" customHeight="1" x14ac:dyDescent="0.25">
      <c r="A466" s="21">
        <f>A$5</f>
        <v>1182</v>
      </c>
      <c r="B466" s="148"/>
      <c r="C466" s="144">
        <v>1</v>
      </c>
      <c r="D466" s="247">
        <f>'Appendix J-2'!D28</f>
        <v>11</v>
      </c>
      <c r="E466" s="22">
        <f>IF(F466=0,0,F466/D466)</f>
        <v>9806.2727272727279</v>
      </c>
      <c r="F466" s="247">
        <f>'Appendix J-2'!F28</f>
        <v>107869</v>
      </c>
      <c r="G466" s="24">
        <f>H466/F466</f>
        <v>5.497209578284771</v>
      </c>
      <c r="H466" s="250">
        <f>'Appendix J-2'!H28</f>
        <v>592978.5</v>
      </c>
      <c r="I466" s="688"/>
      <c r="J466" s="205"/>
    </row>
    <row r="467" spans="1:19" x14ac:dyDescent="0.25">
      <c r="A467" s="21">
        <f>A$6</f>
        <v>1288</v>
      </c>
      <c r="B467" s="149">
        <f>(A467-A466)/A466</f>
        <v>8.9678510998307953E-2</v>
      </c>
      <c r="C467" s="52">
        <v>2</v>
      </c>
      <c r="D467" s="247">
        <f>'Appendix J-2'!I28</f>
        <v>22</v>
      </c>
      <c r="E467" s="22">
        <f t="shared" ref="E467:E474" si="198">IF(F467=0,0,F467/D467)</f>
        <v>11549.636363636364</v>
      </c>
      <c r="F467" s="247">
        <f>'Appendix J-2'!K28</f>
        <v>254092</v>
      </c>
      <c r="G467" s="24">
        <f t="shared" ref="G467:G474" si="199">H467/F467</f>
        <v>5.4947263196007743</v>
      </c>
      <c r="H467" s="250">
        <f>'Appendix J-2'!M28</f>
        <v>1396166</v>
      </c>
      <c r="I467" s="688"/>
      <c r="J467" s="205"/>
    </row>
    <row r="468" spans="1:19" x14ac:dyDescent="0.25">
      <c r="A468" s="21">
        <f>A$7</f>
        <v>1495</v>
      </c>
      <c r="B468" s="149">
        <f t="shared" ref="B468:B480" si="200">(A468-A467)/A467</f>
        <v>0.16071428571428573</v>
      </c>
      <c r="C468" s="52">
        <v>3</v>
      </c>
      <c r="D468" s="247">
        <f>'Appendix J-2'!N28</f>
        <v>42</v>
      </c>
      <c r="E468" s="22">
        <f t="shared" si="198"/>
        <v>13095.595238095239</v>
      </c>
      <c r="F468" s="247">
        <f>'Appendix J-2'!P28</f>
        <v>550015</v>
      </c>
      <c r="G468" s="24">
        <f t="shared" si="199"/>
        <v>5.4970582620473989</v>
      </c>
      <c r="H468" s="248">
        <f>'Appendix J-2'!R28</f>
        <v>3023464.5</v>
      </c>
      <c r="I468" s="688"/>
      <c r="J468" s="205"/>
    </row>
    <row r="469" spans="1:19" x14ac:dyDescent="0.25">
      <c r="A469" s="21">
        <f>A$8</f>
        <v>1484</v>
      </c>
      <c r="B469" s="149">
        <f t="shared" si="200"/>
        <v>-7.3578595317725752E-3</v>
      </c>
      <c r="C469" s="52">
        <f t="shared" ref="C469:C480" si="201">C468+1</f>
        <v>4</v>
      </c>
      <c r="D469" s="247">
        <f>'Appendix J-2'!S28</f>
        <v>49</v>
      </c>
      <c r="E469" s="22">
        <f t="shared" si="198"/>
        <v>13536.224489795919</v>
      </c>
      <c r="F469" s="247">
        <f>'Appendix J-2'!U28</f>
        <v>663275</v>
      </c>
      <c r="G469" s="24">
        <f t="shared" si="199"/>
        <v>5.48184846406091</v>
      </c>
      <c r="H469" s="248">
        <f>'Appendix J-2'!W28</f>
        <v>3635973.04</v>
      </c>
      <c r="I469" s="688"/>
      <c r="J469" s="205"/>
    </row>
    <row r="470" spans="1:19" x14ac:dyDescent="0.25">
      <c r="A470" s="21">
        <f>A$9</f>
        <v>1528</v>
      </c>
      <c r="B470" s="149">
        <f t="shared" si="200"/>
        <v>2.9649595687331536E-2</v>
      </c>
      <c r="C470" s="52">
        <f t="shared" si="201"/>
        <v>5</v>
      </c>
      <c r="D470" s="247">
        <f>'Appendix J-2'!X28</f>
        <v>58</v>
      </c>
      <c r="E470" s="22">
        <f t="shared" si="198"/>
        <v>12290.689655172413</v>
      </c>
      <c r="F470" s="247">
        <f>'Appendix J-2'!Z28</f>
        <v>712860</v>
      </c>
      <c r="G470" s="24">
        <f t="shared" si="199"/>
        <v>5.4799301405605592</v>
      </c>
      <c r="H470" s="248">
        <f>'Appendix J-2'!AB28</f>
        <v>3906423</v>
      </c>
      <c r="I470" s="688"/>
      <c r="J470" s="205"/>
    </row>
    <row r="471" spans="1:19" x14ac:dyDescent="0.25">
      <c r="A471" s="21">
        <f>A$10</f>
        <v>1592</v>
      </c>
      <c r="B471" s="149">
        <f t="shared" si="200"/>
        <v>4.1884816753926704E-2</v>
      </c>
      <c r="C471" s="52">
        <f t="shared" si="201"/>
        <v>6</v>
      </c>
      <c r="D471" s="249">
        <f>'Appendix J-2'!AC28</f>
        <v>153</v>
      </c>
      <c r="E471" s="22">
        <f t="shared" si="198"/>
        <v>5340.4967320261439</v>
      </c>
      <c r="F471" s="249">
        <f>'Appendix J-2'!AE28</f>
        <v>817096</v>
      </c>
      <c r="G471" s="24">
        <f t="shared" si="199"/>
        <v>5.4901422966212046</v>
      </c>
      <c r="H471" s="248">
        <f>'Appendix J-2'!AG28</f>
        <v>4485973.3099999996</v>
      </c>
      <c r="I471" s="688"/>
      <c r="J471" s="205"/>
      <c r="N471" s="87" t="s">
        <v>509</v>
      </c>
    </row>
    <row r="472" spans="1:19" x14ac:dyDescent="0.25">
      <c r="A472" s="21">
        <f>A$11</f>
        <v>1642</v>
      </c>
      <c r="B472" s="149">
        <f t="shared" si="200"/>
        <v>3.1407035175879394E-2</v>
      </c>
      <c r="C472" s="20">
        <f t="shared" si="201"/>
        <v>7</v>
      </c>
      <c r="D472" s="249">
        <f>'Appendix J-2'!AH28</f>
        <v>157</v>
      </c>
      <c r="E472" s="22">
        <f t="shared" si="198"/>
        <v>6420.7197452229302</v>
      </c>
      <c r="F472" s="249">
        <f>'Appendix J-2'!AJ28</f>
        <v>1008053</v>
      </c>
      <c r="G472" s="24">
        <f t="shared" si="199"/>
        <v>5.55754729166026</v>
      </c>
      <c r="H472" s="248">
        <f>'Appendix J-2'!AL28</f>
        <v>5602302.2199999997</v>
      </c>
      <c r="I472" s="688"/>
      <c r="J472" s="205"/>
      <c r="N472" s="31" t="s">
        <v>506</v>
      </c>
      <c r="O472" s="31">
        <v>2014</v>
      </c>
      <c r="P472" s="31">
        <v>90</v>
      </c>
      <c r="Q472" s="90"/>
    </row>
    <row r="473" spans="1:19" x14ac:dyDescent="0.25">
      <c r="A473" s="21">
        <f>A$12</f>
        <v>1675</v>
      </c>
      <c r="B473" s="149">
        <f t="shared" si="200"/>
        <v>2.0097442143727162E-2</v>
      </c>
      <c r="C473" s="20">
        <f t="shared" si="201"/>
        <v>8</v>
      </c>
      <c r="D473" s="249">
        <f>'Appendix J-2'!AM28</f>
        <v>113</v>
      </c>
      <c r="E473" s="22">
        <f t="shared" si="198"/>
        <v>10108.690265486726</v>
      </c>
      <c r="F473" s="249">
        <f>'Appendix J-2'!AO28</f>
        <v>1142282</v>
      </c>
      <c r="G473" s="24">
        <f t="shared" si="199"/>
        <v>5.9194415389544783</v>
      </c>
      <c r="H473" s="248">
        <f>'Appendix J-2'!AQ28</f>
        <v>6761671.5199999996</v>
      </c>
      <c r="I473" s="688"/>
      <c r="J473" s="205"/>
      <c r="N473" s="31" t="s">
        <v>507</v>
      </c>
      <c r="O473" s="31">
        <v>2015</v>
      </c>
      <c r="P473" s="31">
        <v>84</v>
      </c>
      <c r="Q473" s="90"/>
    </row>
    <row r="474" spans="1:19" x14ac:dyDescent="0.25">
      <c r="A474" s="21">
        <f>A$13</f>
        <v>1739</v>
      </c>
      <c r="B474" s="149">
        <f t="shared" si="200"/>
        <v>3.8208955223880597E-2</v>
      </c>
      <c r="C474" s="20">
        <f t="shared" si="201"/>
        <v>9</v>
      </c>
      <c r="D474" s="249">
        <f>'Appendix J-2'!AR28</f>
        <v>117</v>
      </c>
      <c r="E474" s="22">
        <f t="shared" si="198"/>
        <v>10006.521367521367</v>
      </c>
      <c r="F474" s="249">
        <f>'Appendix J-2'!AT28</f>
        <v>1170763</v>
      </c>
      <c r="G474" s="24">
        <f t="shared" si="199"/>
        <v>5.9598283597961332</v>
      </c>
      <c r="H474" s="248">
        <f>'Appendix J-2'!AV28</f>
        <v>6977546.5300000003</v>
      </c>
      <c r="I474" s="688"/>
      <c r="J474" s="205"/>
      <c r="N474" s="31" t="s">
        <v>508</v>
      </c>
      <c r="O474" s="31">
        <v>2016</v>
      </c>
      <c r="P474" s="31">
        <v>93</v>
      </c>
      <c r="Q474" s="90"/>
      <c r="R474" s="326"/>
      <c r="S474" s="87"/>
    </row>
    <row r="475" spans="1:19" x14ac:dyDescent="0.25">
      <c r="A475" s="21">
        <f>A$14</f>
        <v>1752</v>
      </c>
      <c r="B475" s="149">
        <f t="shared" si="200"/>
        <v>7.4755606670500289E-3</v>
      </c>
      <c r="C475" s="20">
        <f t="shared" si="201"/>
        <v>10</v>
      </c>
      <c r="D475" s="21">
        <f>ROUND((TREND($D$473:$D$474,$A$473:$A$474,A475)),0)</f>
        <v>118</v>
      </c>
      <c r="E475" s="22">
        <f>IF(TREND($E$473:$E$474,$C$473:$C$474,C475)&lt;35040,TREND($E$473:$E$474,$C$473:$C$474,C475),35040)</f>
        <v>9904.3524695560081</v>
      </c>
      <c r="F475" s="21">
        <f>D475*E475</f>
        <v>1168713.5914076089</v>
      </c>
      <c r="G475" s="24">
        <f>'DDS Rates for Amend'!Y17</f>
        <v>6.03</v>
      </c>
      <c r="H475" s="33">
        <f>F475*G475</f>
        <v>7047342.9561878825</v>
      </c>
      <c r="I475" s="688"/>
      <c r="J475" s="205"/>
      <c r="P475" s="31">
        <f>AVERAGE(P472:P474)</f>
        <v>89</v>
      </c>
      <c r="Q475" s="31" t="s">
        <v>519</v>
      </c>
    </row>
    <row r="476" spans="1:19" x14ac:dyDescent="0.25">
      <c r="A476" s="21">
        <f>A$15</f>
        <v>1822</v>
      </c>
      <c r="B476" s="149">
        <f t="shared" si="200"/>
        <v>3.9954337899543377E-2</v>
      </c>
      <c r="C476" s="20">
        <f t="shared" si="201"/>
        <v>11</v>
      </c>
      <c r="D476" s="21">
        <f t="shared" ref="D476:D480" si="202">ROUND((TREND($D$473:$D$474,$A$473:$A$474,A476)),0)</f>
        <v>122</v>
      </c>
      <c r="E476" s="22">
        <f t="shared" ref="E476:E480" si="203">IF(TREND($E$473:$E$474,$C$473:$C$474,C476)&lt;35040,TREND($E$473:$E$474,$C$473:$C$474,C476),35040)</f>
        <v>9802.1835715906491</v>
      </c>
      <c r="F476" s="21">
        <f t="shared" ref="F476:F480" si="204">D476*E476</f>
        <v>1195866.3957340592</v>
      </c>
      <c r="G476" s="24">
        <f>'DDS Rates for Amend'!Y18</f>
        <v>6.1867800000000006</v>
      </c>
      <c r="H476" s="33">
        <f t="shared" ref="H476:H480" si="205">F476*G476</f>
        <v>7398562.2997995634</v>
      </c>
      <c r="I476" s="688"/>
      <c r="J476" s="205"/>
    </row>
    <row r="477" spans="1:19" x14ac:dyDescent="0.25">
      <c r="A477" s="21">
        <f>A$16</f>
        <v>1872</v>
      </c>
      <c r="B477" s="149">
        <f t="shared" si="200"/>
        <v>2.7442371020856202E-2</v>
      </c>
      <c r="C477" s="20">
        <f t="shared" si="201"/>
        <v>12</v>
      </c>
      <c r="D477" s="21">
        <f t="shared" si="202"/>
        <v>125</v>
      </c>
      <c r="E477" s="22">
        <f t="shared" si="203"/>
        <v>9700.01467362529</v>
      </c>
      <c r="F477" s="21">
        <f t="shared" si="204"/>
        <v>1212501.8342031613</v>
      </c>
      <c r="G477" s="24">
        <f>'DDS Rates for Amend'!Y19</f>
        <v>6.3476362800000006</v>
      </c>
      <c r="H477" s="33">
        <f t="shared" si="205"/>
        <v>7696520.6323545324</v>
      </c>
      <c r="I477" s="688"/>
      <c r="J477" s="205"/>
    </row>
    <row r="478" spans="1:19" x14ac:dyDescent="0.25">
      <c r="A478" s="21">
        <f>A$17</f>
        <v>1902</v>
      </c>
      <c r="B478" s="149">
        <f t="shared" si="200"/>
        <v>1.6025641025641024E-2</v>
      </c>
      <c r="C478" s="20">
        <f t="shared" si="201"/>
        <v>13</v>
      </c>
      <c r="D478" s="21">
        <f t="shared" si="202"/>
        <v>127</v>
      </c>
      <c r="E478" s="22">
        <f t="shared" si="203"/>
        <v>9597.845775659931</v>
      </c>
      <c r="F478" s="21">
        <f t="shared" si="204"/>
        <v>1218926.4135088113</v>
      </c>
      <c r="G478" s="24">
        <f>'DDS Rates for Amend'!Y20</f>
        <v>6.5126748232800002</v>
      </c>
      <c r="H478" s="33">
        <f t="shared" si="205"/>
        <v>7938471.3646898223</v>
      </c>
      <c r="I478" s="688"/>
      <c r="J478" s="205"/>
    </row>
    <row r="479" spans="1:19" x14ac:dyDescent="0.25">
      <c r="A479" s="21">
        <f>A$18</f>
        <v>1932</v>
      </c>
      <c r="B479" s="149">
        <f t="shared" si="200"/>
        <v>1.5772870662460567E-2</v>
      </c>
      <c r="C479" s="20">
        <f t="shared" si="201"/>
        <v>14</v>
      </c>
      <c r="D479" s="21">
        <f t="shared" si="202"/>
        <v>129</v>
      </c>
      <c r="E479" s="22">
        <f t="shared" si="203"/>
        <v>9495.6768776945719</v>
      </c>
      <c r="F479" s="21">
        <f t="shared" si="204"/>
        <v>1224942.3172225999</v>
      </c>
      <c r="G479" s="24">
        <f>'DDS Rates for Amend'!Y21</f>
        <v>6.6820043686852806</v>
      </c>
      <c r="H479" s="33">
        <f t="shared" si="205"/>
        <v>8185069.9150688834</v>
      </c>
      <c r="I479" s="688"/>
      <c r="J479" s="205"/>
    </row>
    <row r="480" spans="1:19" x14ac:dyDescent="0.25">
      <c r="A480" s="21">
        <f>A$19</f>
        <v>1962</v>
      </c>
      <c r="B480" s="149">
        <f t="shared" si="200"/>
        <v>1.5527950310559006E-2</v>
      </c>
      <c r="C480" s="20">
        <f t="shared" si="201"/>
        <v>15</v>
      </c>
      <c r="D480" s="21">
        <f t="shared" si="202"/>
        <v>131</v>
      </c>
      <c r="E480" s="22">
        <f t="shared" si="203"/>
        <v>9393.5079797292128</v>
      </c>
      <c r="F480" s="21">
        <f t="shared" si="204"/>
        <v>1230549.5453445269</v>
      </c>
      <c r="G480" s="24">
        <f>'DDS Rates for Amend'!Y22</f>
        <v>6.855736482271098</v>
      </c>
      <c r="H480" s="33">
        <f t="shared" si="205"/>
        <v>8436323.4112605862</v>
      </c>
      <c r="I480" s="689"/>
      <c r="J480" s="205"/>
      <c r="K480" s="285">
        <f>SUM(H466:H480)</f>
        <v>83084789.199361265</v>
      </c>
      <c r="L480" s="17">
        <f>IF(K480='Appendix J-2'!CD28,0,error)</f>
        <v>0</v>
      </c>
    </row>
    <row r="481" spans="1:12" x14ac:dyDescent="0.25">
      <c r="C481"/>
      <c r="I481" s="568"/>
      <c r="J481"/>
    </row>
    <row r="482" spans="1:12" x14ac:dyDescent="0.25">
      <c r="A482" s="697" t="s">
        <v>219</v>
      </c>
      <c r="B482" s="697"/>
      <c r="C482" s="697"/>
      <c r="D482" s="698"/>
      <c r="E482" s="224"/>
      <c r="F482" s="699"/>
      <c r="G482" s="699"/>
      <c r="H482" s="699"/>
      <c r="I482" s="705" t="s">
        <v>278</v>
      </c>
      <c r="J482" s="205"/>
    </row>
    <row r="483" spans="1:12" x14ac:dyDescent="0.25">
      <c r="A483" s="151" t="s">
        <v>26</v>
      </c>
      <c r="B483" s="151" t="s">
        <v>27</v>
      </c>
      <c r="C483" s="168" t="s">
        <v>166</v>
      </c>
      <c r="D483" s="225" t="s">
        <v>154</v>
      </c>
      <c r="E483" s="226" t="s">
        <v>155</v>
      </c>
      <c r="F483" s="227" t="s">
        <v>158</v>
      </c>
      <c r="G483" s="228" t="s">
        <v>156</v>
      </c>
      <c r="H483" s="228" t="s">
        <v>157</v>
      </c>
      <c r="I483" s="706"/>
      <c r="J483" s="203"/>
    </row>
    <row r="484" spans="1:12" ht="15" customHeight="1" x14ac:dyDescent="0.25">
      <c r="A484" s="148">
        <f>A$5</f>
        <v>1182</v>
      </c>
      <c r="B484" s="148"/>
      <c r="C484" s="137">
        <v>1</v>
      </c>
      <c r="D484" s="215">
        <f>'Appendix J-2'!D29</f>
        <v>0</v>
      </c>
      <c r="E484" s="138">
        <f>IF(F484=0,0,F484/D484)</f>
        <v>0</v>
      </c>
      <c r="F484" s="215">
        <f>'Appendix J-2'!F29</f>
        <v>0</v>
      </c>
      <c r="G484" s="258" t="e">
        <f>H484/F484</f>
        <v>#DIV/0!</v>
      </c>
      <c r="H484" s="216">
        <f>'Appendix J-2'!H29</f>
        <v>0</v>
      </c>
      <c r="I484" s="706"/>
      <c r="J484" s="200"/>
    </row>
    <row r="485" spans="1:12" x14ac:dyDescent="0.25">
      <c r="A485" s="148">
        <f>A$6</f>
        <v>1288</v>
      </c>
      <c r="B485" s="152">
        <f>(A485-A484)/A484</f>
        <v>8.9678510998307953E-2</v>
      </c>
      <c r="C485" s="140">
        <v>2</v>
      </c>
      <c r="D485" s="215">
        <f>'Appendix J-2'!I29</f>
        <v>0</v>
      </c>
      <c r="E485" s="138">
        <f t="shared" ref="E485:E493" si="206">IF(F485=0,0,F485/D485)</f>
        <v>0</v>
      </c>
      <c r="F485" s="215">
        <f>'Appendix J-2'!K29</f>
        <v>0</v>
      </c>
      <c r="G485" s="258" t="e">
        <f t="shared" ref="G485:G493" si="207">H485/F485</f>
        <v>#DIV/0!</v>
      </c>
      <c r="H485" s="216">
        <f>'Appendix J-2'!M29</f>
        <v>0</v>
      </c>
      <c r="I485" s="706"/>
      <c r="J485" s="200"/>
    </row>
    <row r="486" spans="1:12" x14ac:dyDescent="0.25">
      <c r="A486" s="148">
        <f>A$7</f>
        <v>1495</v>
      </c>
      <c r="B486" s="152">
        <f t="shared" ref="B486:B493" si="208">(A486-A485)/A485</f>
        <v>0.16071428571428573</v>
      </c>
      <c r="C486" s="140">
        <v>3</v>
      </c>
      <c r="D486" s="215">
        <f>'Appendix J-2'!N29</f>
        <v>0</v>
      </c>
      <c r="E486" s="138">
        <f t="shared" si="206"/>
        <v>0</v>
      </c>
      <c r="F486" s="215">
        <f>'Appendix J-2'!P29</f>
        <v>0</v>
      </c>
      <c r="G486" s="258" t="e">
        <f t="shared" si="207"/>
        <v>#DIV/0!</v>
      </c>
      <c r="H486" s="141">
        <f>'Appendix J-2'!R29</f>
        <v>0</v>
      </c>
      <c r="I486" s="706"/>
      <c r="J486" s="201"/>
    </row>
    <row r="487" spans="1:12" x14ac:dyDescent="0.25">
      <c r="A487" s="148">
        <f>A$8</f>
        <v>1484</v>
      </c>
      <c r="B487" s="152">
        <f t="shared" si="208"/>
        <v>-7.3578595317725752E-3</v>
      </c>
      <c r="C487" s="140">
        <f t="shared" ref="C487:C493" si="209">C486+1</f>
        <v>4</v>
      </c>
      <c r="D487" s="215">
        <f>'Appendix J-2'!S29</f>
        <v>1</v>
      </c>
      <c r="E487" s="138">
        <f t="shared" si="206"/>
        <v>1</v>
      </c>
      <c r="F487" s="215">
        <f>'Appendix J-2'!U29</f>
        <v>1</v>
      </c>
      <c r="G487" s="258">
        <f t="shared" si="207"/>
        <v>500</v>
      </c>
      <c r="H487" s="141">
        <f>'Appendix J-2'!W29</f>
        <v>500</v>
      </c>
      <c r="I487" s="706"/>
      <c r="J487" s="201"/>
    </row>
    <row r="488" spans="1:12" x14ac:dyDescent="0.25">
      <c r="A488" s="148">
        <f>A$9</f>
        <v>1528</v>
      </c>
      <c r="B488" s="152">
        <f t="shared" si="208"/>
        <v>2.9649595687331536E-2</v>
      </c>
      <c r="C488" s="140">
        <f t="shared" si="209"/>
        <v>5</v>
      </c>
      <c r="D488" s="215">
        <f>'Appendix J-2'!X29</f>
        <v>0</v>
      </c>
      <c r="E488" s="138">
        <f t="shared" si="206"/>
        <v>0</v>
      </c>
      <c r="F488" s="215">
        <f>'Appendix J-2'!Z29</f>
        <v>0</v>
      </c>
      <c r="G488" s="258" t="e">
        <f t="shared" si="207"/>
        <v>#DIV/0!</v>
      </c>
      <c r="H488" s="141">
        <f>'Appendix J-2'!AB29</f>
        <v>0</v>
      </c>
      <c r="I488" s="706"/>
      <c r="J488" s="201"/>
    </row>
    <row r="489" spans="1:12" x14ac:dyDescent="0.25">
      <c r="A489" s="148">
        <f>A$10</f>
        <v>1592</v>
      </c>
      <c r="B489" s="152">
        <f t="shared" si="208"/>
        <v>4.1884816753926704E-2</v>
      </c>
      <c r="C489" s="140">
        <f t="shared" si="209"/>
        <v>6</v>
      </c>
      <c r="D489" s="148">
        <f>'Appendix J-2'!AC29</f>
        <v>0</v>
      </c>
      <c r="E489" s="138">
        <f t="shared" si="206"/>
        <v>0</v>
      </c>
      <c r="F489" s="148">
        <f>'Appendix J-2'!AE29</f>
        <v>0</v>
      </c>
      <c r="G489" s="258" t="e">
        <f t="shared" si="207"/>
        <v>#DIV/0!</v>
      </c>
      <c r="H489" s="141">
        <f>'Appendix J-2'!AG29</f>
        <v>0</v>
      </c>
      <c r="I489" s="706"/>
      <c r="J489" s="156"/>
    </row>
    <row r="490" spans="1:12" x14ac:dyDescent="0.25">
      <c r="A490" s="148">
        <f>A$11</f>
        <v>1642</v>
      </c>
      <c r="B490" s="152">
        <f t="shared" si="208"/>
        <v>3.1407035175879394E-2</v>
      </c>
      <c r="C490" s="140">
        <f t="shared" si="209"/>
        <v>7</v>
      </c>
      <c r="D490" s="148">
        <f>'Appendix J-2'!AH29</f>
        <v>0</v>
      </c>
      <c r="E490" s="138">
        <f t="shared" si="206"/>
        <v>0</v>
      </c>
      <c r="F490" s="148">
        <f>'Appendix J-2'!AJ29</f>
        <v>0</v>
      </c>
      <c r="G490" s="258" t="e">
        <f t="shared" si="207"/>
        <v>#DIV/0!</v>
      </c>
      <c r="H490" s="141">
        <f>'Appendix J-2'!AL29</f>
        <v>0</v>
      </c>
      <c r="I490" s="706"/>
      <c r="J490" s="156"/>
    </row>
    <row r="491" spans="1:12" x14ac:dyDescent="0.25">
      <c r="A491" s="148">
        <f>A$12</f>
        <v>1675</v>
      </c>
      <c r="B491" s="152">
        <f t="shared" si="208"/>
        <v>2.0097442143727162E-2</v>
      </c>
      <c r="C491" s="140">
        <f t="shared" si="209"/>
        <v>8</v>
      </c>
      <c r="D491" s="148">
        <f>'Appendix J-2'!AM29</f>
        <v>0</v>
      </c>
      <c r="E491" s="138">
        <f t="shared" si="206"/>
        <v>0</v>
      </c>
      <c r="F491" s="148">
        <f>'Appendix J-2'!AO29</f>
        <v>0</v>
      </c>
      <c r="G491" s="258" t="e">
        <f t="shared" si="207"/>
        <v>#DIV/0!</v>
      </c>
      <c r="H491" s="141">
        <f>'Appendix J-2'!AQ29</f>
        <v>0</v>
      </c>
      <c r="I491" s="706"/>
      <c r="J491" s="156"/>
    </row>
    <row r="492" spans="1:12" x14ac:dyDescent="0.25">
      <c r="A492" s="148">
        <f>A$13</f>
        <v>1739</v>
      </c>
      <c r="B492" s="152">
        <f t="shared" si="208"/>
        <v>3.8208955223880597E-2</v>
      </c>
      <c r="C492" s="140">
        <f t="shared" si="209"/>
        <v>9</v>
      </c>
      <c r="D492" s="148">
        <f>'Appendix J-2'!AR29</f>
        <v>0</v>
      </c>
      <c r="E492" s="138">
        <f t="shared" si="206"/>
        <v>0</v>
      </c>
      <c r="F492" s="148">
        <f>'Appendix J-2'!AT29</f>
        <v>0</v>
      </c>
      <c r="G492" s="258" t="e">
        <f t="shared" si="207"/>
        <v>#DIV/0!</v>
      </c>
      <c r="H492" s="141">
        <f>'Appendix J-2'!AV29</f>
        <v>0</v>
      </c>
      <c r="I492" s="706"/>
      <c r="J492" s="156"/>
    </row>
    <row r="493" spans="1:12" x14ac:dyDescent="0.25">
      <c r="A493" s="148">
        <f>A$14</f>
        <v>1752</v>
      </c>
      <c r="B493" s="152">
        <f t="shared" si="208"/>
        <v>7.4755606670500289E-3</v>
      </c>
      <c r="C493" s="140">
        <f t="shared" si="209"/>
        <v>10</v>
      </c>
      <c r="D493" s="148">
        <v>0</v>
      </c>
      <c r="E493" s="138">
        <f t="shared" si="206"/>
        <v>0</v>
      </c>
      <c r="F493" s="148">
        <f>0</f>
        <v>0</v>
      </c>
      <c r="G493" s="258" t="e">
        <f t="shared" si="207"/>
        <v>#DIV/0!</v>
      </c>
      <c r="H493" s="141">
        <v>0</v>
      </c>
      <c r="I493" s="707"/>
      <c r="J493" s="156"/>
      <c r="K493" s="285">
        <f>SUM(H484:H493)</f>
        <v>500</v>
      </c>
      <c r="L493" s="17">
        <f>IF(K493='Appendix J-2'!CD29,0,error)</f>
        <v>0</v>
      </c>
    </row>
    <row r="494" spans="1:12" x14ac:dyDescent="0.25">
      <c r="C494"/>
      <c r="I494" s="569"/>
      <c r="J494" s="72"/>
    </row>
    <row r="495" spans="1:12" x14ac:dyDescent="0.25">
      <c r="A495" s="697" t="s">
        <v>132</v>
      </c>
      <c r="B495" s="697"/>
      <c r="C495" s="697"/>
      <c r="D495" s="698"/>
      <c r="E495" s="224"/>
      <c r="F495" s="699"/>
      <c r="G495" s="699"/>
      <c r="H495" s="699"/>
      <c r="I495" s="705" t="s">
        <v>335</v>
      </c>
      <c r="J495" s="205"/>
    </row>
    <row r="496" spans="1:12" x14ac:dyDescent="0.25">
      <c r="A496" s="151" t="s">
        <v>26</v>
      </c>
      <c r="B496" s="151" t="s">
        <v>27</v>
      </c>
      <c r="C496" s="255" t="s">
        <v>166</v>
      </c>
      <c r="D496" s="260" t="s">
        <v>154</v>
      </c>
      <c r="E496" s="261" t="s">
        <v>155</v>
      </c>
      <c r="F496" s="262" t="s">
        <v>158</v>
      </c>
      <c r="G496" s="255" t="s">
        <v>156</v>
      </c>
      <c r="H496" s="255" t="s">
        <v>157</v>
      </c>
      <c r="I496" s="706"/>
      <c r="J496" s="205"/>
    </row>
    <row r="497" spans="1:12" x14ac:dyDescent="0.25">
      <c r="A497" s="148">
        <f>A$5</f>
        <v>1182</v>
      </c>
      <c r="B497" s="148"/>
      <c r="C497" s="137">
        <v>1</v>
      </c>
      <c r="D497" s="215">
        <f>'Appendix J-2'!D30</f>
        <v>0</v>
      </c>
      <c r="E497" s="138">
        <f>IF(F497=0,0,F497/D497)</f>
        <v>0</v>
      </c>
      <c r="F497" s="215">
        <f>'Appendix J-2'!F30</f>
        <v>0</v>
      </c>
      <c r="G497" s="139" t="e">
        <f>H497/F497</f>
        <v>#DIV/0!</v>
      </c>
      <c r="H497" s="216">
        <f>'Appendix J-2'!H30</f>
        <v>0</v>
      </c>
      <c r="I497" s="706"/>
      <c r="J497" s="205"/>
    </row>
    <row r="498" spans="1:12" x14ac:dyDescent="0.25">
      <c r="A498" s="148">
        <f>A$6</f>
        <v>1288</v>
      </c>
      <c r="B498" s="152">
        <f>(A498-A497)/A497</f>
        <v>8.9678510998307953E-2</v>
      </c>
      <c r="C498" s="140">
        <v>2</v>
      </c>
      <c r="D498" s="215">
        <f>'Appendix J-2'!I30</f>
        <v>0</v>
      </c>
      <c r="E498" s="138">
        <f t="shared" ref="E498:E505" si="210">IF(F498=0,0,F498/D498)</f>
        <v>0</v>
      </c>
      <c r="F498" s="215">
        <f>'Appendix J-2'!K30</f>
        <v>0</v>
      </c>
      <c r="G498" s="139" t="e">
        <f t="shared" ref="G498:G505" si="211">H498/F498</f>
        <v>#DIV/0!</v>
      </c>
      <c r="H498" s="216">
        <f>'Appendix J-2'!M30</f>
        <v>0</v>
      </c>
      <c r="I498" s="706"/>
      <c r="J498" s="205"/>
    </row>
    <row r="499" spans="1:12" x14ac:dyDescent="0.25">
      <c r="A499" s="148">
        <f>A$7</f>
        <v>1495</v>
      </c>
      <c r="B499" s="152">
        <f t="shared" ref="B499:B511" si="212">(A499-A498)/A498</f>
        <v>0.16071428571428573</v>
      </c>
      <c r="C499" s="140">
        <v>3</v>
      </c>
      <c r="D499" s="215">
        <f>'Appendix J-2'!N30</f>
        <v>0</v>
      </c>
      <c r="E499" s="138">
        <f t="shared" si="210"/>
        <v>0</v>
      </c>
      <c r="F499" s="215">
        <f>'Appendix J-2'!P30</f>
        <v>0</v>
      </c>
      <c r="G499" s="139" t="e">
        <f t="shared" si="211"/>
        <v>#DIV/0!</v>
      </c>
      <c r="H499" s="141">
        <f>'Appendix J-2'!R30</f>
        <v>0</v>
      </c>
      <c r="I499" s="706"/>
      <c r="J499" s="205"/>
    </row>
    <row r="500" spans="1:12" x14ac:dyDescent="0.25">
      <c r="A500" s="148">
        <f>A$8</f>
        <v>1484</v>
      </c>
      <c r="B500" s="152">
        <f t="shared" si="212"/>
        <v>-7.3578595317725752E-3</v>
      </c>
      <c r="C500" s="140">
        <f t="shared" ref="C500:C511" si="213">C499+1</f>
        <v>4</v>
      </c>
      <c r="D500" s="215">
        <f>'Appendix J-2'!S30</f>
        <v>0</v>
      </c>
      <c r="E500" s="138">
        <f t="shared" si="210"/>
        <v>0</v>
      </c>
      <c r="F500" s="215">
        <f>'Appendix J-2'!U30</f>
        <v>0</v>
      </c>
      <c r="G500" s="139" t="e">
        <f t="shared" si="211"/>
        <v>#DIV/0!</v>
      </c>
      <c r="H500" s="141">
        <f>'Appendix J-2'!W30</f>
        <v>0</v>
      </c>
      <c r="I500" s="706"/>
      <c r="J500" s="205"/>
    </row>
    <row r="501" spans="1:12" x14ac:dyDescent="0.25">
      <c r="A501" s="148">
        <f>A$9</f>
        <v>1528</v>
      </c>
      <c r="B501" s="152">
        <f t="shared" si="212"/>
        <v>2.9649595687331536E-2</v>
      </c>
      <c r="C501" s="140">
        <f t="shared" si="213"/>
        <v>5</v>
      </c>
      <c r="D501" s="215">
        <f>'Appendix J-2'!X30</f>
        <v>0</v>
      </c>
      <c r="E501" s="138">
        <f t="shared" si="210"/>
        <v>0</v>
      </c>
      <c r="F501" s="215">
        <f>'Appendix J-2'!Z30</f>
        <v>0</v>
      </c>
      <c r="G501" s="139" t="e">
        <f t="shared" si="211"/>
        <v>#DIV/0!</v>
      </c>
      <c r="H501" s="141">
        <f>'Appendix J-2'!AB30</f>
        <v>0</v>
      </c>
      <c r="I501" s="706"/>
      <c r="J501" s="205"/>
    </row>
    <row r="502" spans="1:12" x14ac:dyDescent="0.25">
      <c r="A502" s="148">
        <f>A$10</f>
        <v>1592</v>
      </c>
      <c r="B502" s="152">
        <f t="shared" si="212"/>
        <v>4.1884816753926704E-2</v>
      </c>
      <c r="C502" s="140">
        <f t="shared" si="213"/>
        <v>6</v>
      </c>
      <c r="D502" s="148">
        <f>'Appendix J-2'!AC30</f>
        <v>0</v>
      </c>
      <c r="E502" s="138">
        <f t="shared" si="210"/>
        <v>0</v>
      </c>
      <c r="F502" s="148">
        <f>'Appendix J-2'!AE30</f>
        <v>0</v>
      </c>
      <c r="G502" s="139" t="e">
        <f t="shared" si="211"/>
        <v>#DIV/0!</v>
      </c>
      <c r="H502" s="141">
        <f>'Appendix J-2'!AG30</f>
        <v>0</v>
      </c>
      <c r="I502" s="706"/>
      <c r="J502" s="205"/>
    </row>
    <row r="503" spans="1:12" x14ac:dyDescent="0.25">
      <c r="A503" s="148">
        <f>A$11</f>
        <v>1642</v>
      </c>
      <c r="B503" s="152">
        <f t="shared" si="212"/>
        <v>3.1407035175879394E-2</v>
      </c>
      <c r="C503" s="140">
        <f t="shared" si="213"/>
        <v>7</v>
      </c>
      <c r="D503" s="148">
        <f>'Appendix J-2'!AH30</f>
        <v>0</v>
      </c>
      <c r="E503" s="138">
        <f t="shared" si="210"/>
        <v>0</v>
      </c>
      <c r="F503" s="148">
        <f>'Appendix J-2'!AJ30</f>
        <v>0</v>
      </c>
      <c r="G503" s="139" t="e">
        <f t="shared" si="211"/>
        <v>#DIV/0!</v>
      </c>
      <c r="H503" s="141">
        <f>'Appendix J-2'!AL30</f>
        <v>0</v>
      </c>
      <c r="I503" s="706"/>
      <c r="J503" s="205"/>
    </row>
    <row r="504" spans="1:12" x14ac:dyDescent="0.25">
      <c r="A504" s="148">
        <f>A$12</f>
        <v>1675</v>
      </c>
      <c r="B504" s="152">
        <f t="shared" si="212"/>
        <v>2.0097442143727162E-2</v>
      </c>
      <c r="C504" s="140">
        <f t="shared" si="213"/>
        <v>8</v>
      </c>
      <c r="D504" s="148">
        <f>'Appendix J-2'!AM30</f>
        <v>2</v>
      </c>
      <c r="E504" s="138">
        <f t="shared" si="210"/>
        <v>1</v>
      </c>
      <c r="F504" s="148">
        <f>'Appendix J-2'!AO30</f>
        <v>2</v>
      </c>
      <c r="G504" s="139">
        <f t="shared" si="211"/>
        <v>50</v>
      </c>
      <c r="H504" s="141">
        <f>'Appendix J-2'!AQ30</f>
        <v>100</v>
      </c>
      <c r="I504" s="706"/>
      <c r="J504" s="205"/>
    </row>
    <row r="505" spans="1:12" x14ac:dyDescent="0.25">
      <c r="A505" s="148">
        <f>A$13</f>
        <v>1739</v>
      </c>
      <c r="B505" s="152">
        <f t="shared" si="212"/>
        <v>3.8208955223880597E-2</v>
      </c>
      <c r="C505" s="140">
        <f t="shared" si="213"/>
        <v>9</v>
      </c>
      <c r="D505" s="148">
        <f>'Appendix J-2'!AR30</f>
        <v>1</v>
      </c>
      <c r="E505" s="138">
        <f t="shared" si="210"/>
        <v>1</v>
      </c>
      <c r="F505" s="148">
        <f>'Appendix J-2'!AT30</f>
        <v>1</v>
      </c>
      <c r="G505" s="139">
        <f t="shared" si="211"/>
        <v>50</v>
      </c>
      <c r="H505" s="141">
        <f>'Appendix J-2'!AV30</f>
        <v>50</v>
      </c>
      <c r="I505" s="706"/>
      <c r="J505" s="205"/>
    </row>
    <row r="506" spans="1:12" x14ac:dyDescent="0.25">
      <c r="A506" s="148">
        <f>A$14</f>
        <v>1752</v>
      </c>
      <c r="B506" s="152">
        <f t="shared" si="212"/>
        <v>7.4755606670500289E-3</v>
      </c>
      <c r="C506" s="140">
        <f t="shared" si="213"/>
        <v>10</v>
      </c>
      <c r="D506" s="148">
        <f>ROUND((TREND($D$504:$D$505,$C$504:$C$505,C506)),0)</f>
        <v>0</v>
      </c>
      <c r="E506" s="138">
        <f>TREND($E$504:$E$505,$C$504:$C$505,C506)</f>
        <v>1</v>
      </c>
      <c r="F506" s="148">
        <f>D506*E506</f>
        <v>0</v>
      </c>
      <c r="G506" s="139">
        <f>'DDS Rates for Amend'!AA17</f>
        <v>50</v>
      </c>
      <c r="H506" s="141">
        <f>F506*G506</f>
        <v>0</v>
      </c>
      <c r="I506" s="706"/>
      <c r="J506" s="205"/>
    </row>
    <row r="507" spans="1:12" x14ac:dyDescent="0.25">
      <c r="A507" s="148">
        <f>A$15</f>
        <v>1822</v>
      </c>
      <c r="B507" s="152">
        <f t="shared" si="212"/>
        <v>3.9954337899543377E-2</v>
      </c>
      <c r="C507" s="140">
        <f t="shared" si="213"/>
        <v>11</v>
      </c>
      <c r="D507" s="148"/>
      <c r="E507" s="138"/>
      <c r="F507" s="148">
        <f t="shared" ref="F507:F511" si="214">D507*E507</f>
        <v>0</v>
      </c>
      <c r="G507" s="139">
        <f>'DDS Rates for Amend'!AA18</f>
        <v>51.3</v>
      </c>
      <c r="H507" s="141">
        <f t="shared" ref="H507:H511" si="215">F507*G507</f>
        <v>0</v>
      </c>
      <c r="I507" s="706"/>
      <c r="J507" s="205"/>
    </row>
    <row r="508" spans="1:12" x14ac:dyDescent="0.25">
      <c r="A508" s="148">
        <f>A$16</f>
        <v>1872</v>
      </c>
      <c r="B508" s="152">
        <f t="shared" si="212"/>
        <v>2.7442371020856202E-2</v>
      </c>
      <c r="C508" s="140">
        <f t="shared" si="213"/>
        <v>12</v>
      </c>
      <c r="D508" s="148"/>
      <c r="E508" s="138"/>
      <c r="F508" s="148">
        <f t="shared" si="214"/>
        <v>0</v>
      </c>
      <c r="G508" s="139">
        <f>'DDS Rates for Amend'!AA19</f>
        <v>52.633799999999994</v>
      </c>
      <c r="H508" s="141">
        <f t="shared" si="215"/>
        <v>0</v>
      </c>
      <c r="I508" s="706"/>
      <c r="J508" s="205"/>
    </row>
    <row r="509" spans="1:12" x14ac:dyDescent="0.25">
      <c r="A509" s="148">
        <f>A$17</f>
        <v>1902</v>
      </c>
      <c r="B509" s="152">
        <f t="shared" si="212"/>
        <v>1.6025641025641024E-2</v>
      </c>
      <c r="C509" s="140">
        <f t="shared" si="213"/>
        <v>13</v>
      </c>
      <c r="D509" s="148"/>
      <c r="E509" s="138"/>
      <c r="F509" s="148">
        <f t="shared" si="214"/>
        <v>0</v>
      </c>
      <c r="G509" s="139">
        <f>'DDS Rates for Amend'!AA20</f>
        <v>54.002278799999992</v>
      </c>
      <c r="H509" s="141">
        <f t="shared" si="215"/>
        <v>0</v>
      </c>
      <c r="I509" s="706"/>
      <c r="J509" s="205"/>
    </row>
    <row r="510" spans="1:12" x14ac:dyDescent="0.25">
      <c r="A510" s="148">
        <f>A$18</f>
        <v>1932</v>
      </c>
      <c r="B510" s="152">
        <f t="shared" si="212"/>
        <v>1.5772870662460567E-2</v>
      </c>
      <c r="C510" s="140">
        <f t="shared" si="213"/>
        <v>14</v>
      </c>
      <c r="D510" s="148"/>
      <c r="E510" s="138"/>
      <c r="F510" s="148">
        <f t="shared" si="214"/>
        <v>0</v>
      </c>
      <c r="G510" s="139">
        <f>'DDS Rates for Amend'!AA21</f>
        <v>55.406338048799995</v>
      </c>
      <c r="H510" s="141">
        <f t="shared" si="215"/>
        <v>0</v>
      </c>
      <c r="I510" s="706"/>
      <c r="J510" s="205"/>
    </row>
    <row r="511" spans="1:12" x14ac:dyDescent="0.25">
      <c r="A511" s="148">
        <f>A$19</f>
        <v>1962</v>
      </c>
      <c r="B511" s="152">
        <f t="shared" si="212"/>
        <v>1.5527950310559006E-2</v>
      </c>
      <c r="C511" s="140">
        <f t="shared" si="213"/>
        <v>15</v>
      </c>
      <c r="D511" s="148"/>
      <c r="E511" s="138"/>
      <c r="F511" s="148">
        <f t="shared" si="214"/>
        <v>0</v>
      </c>
      <c r="G511" s="139">
        <f>'DDS Rates for Amend'!AA22</f>
        <v>56.846902838068793</v>
      </c>
      <c r="H511" s="141">
        <f t="shared" si="215"/>
        <v>0</v>
      </c>
      <c r="I511" s="707"/>
      <c r="J511" s="205"/>
      <c r="K511" s="285">
        <f>SUM(H497:H511)</f>
        <v>150</v>
      </c>
      <c r="L511" s="17">
        <f>IF(K511='Appendix J-2'!CD30,0,error)</f>
        <v>0</v>
      </c>
    </row>
    <row r="512" spans="1:12" x14ac:dyDescent="0.25">
      <c r="C512"/>
      <c r="I512" s="568"/>
      <c r="J512"/>
    </row>
    <row r="513" spans="1:10" ht="15" customHeight="1" x14ac:dyDescent="0.25">
      <c r="A513" s="697" t="s">
        <v>133</v>
      </c>
      <c r="B513" s="697"/>
      <c r="C513" s="697"/>
      <c r="D513" s="698"/>
      <c r="E513" s="224"/>
      <c r="F513" s="699"/>
      <c r="G513" s="699"/>
      <c r="H513" s="699"/>
      <c r="I513" s="705" t="s">
        <v>335</v>
      </c>
      <c r="J513" s="205"/>
    </row>
    <row r="514" spans="1:10" x14ac:dyDescent="0.25">
      <c r="A514" s="151" t="s">
        <v>26</v>
      </c>
      <c r="B514" s="151" t="s">
        <v>27</v>
      </c>
      <c r="C514" s="255" t="s">
        <v>166</v>
      </c>
      <c r="D514" s="260" t="s">
        <v>154</v>
      </c>
      <c r="E514" s="261" t="s">
        <v>155</v>
      </c>
      <c r="F514" s="262" t="s">
        <v>158</v>
      </c>
      <c r="G514" s="255" t="s">
        <v>156</v>
      </c>
      <c r="H514" s="255" t="s">
        <v>157</v>
      </c>
      <c r="I514" s="706"/>
      <c r="J514" s="205"/>
    </row>
    <row r="515" spans="1:10" ht="15" customHeight="1" x14ac:dyDescent="0.25">
      <c r="A515" s="148">
        <f>A$5</f>
        <v>1182</v>
      </c>
      <c r="B515" s="148"/>
      <c r="C515" s="137">
        <v>1</v>
      </c>
      <c r="D515" s="215">
        <f>'Appendix J-2'!D31</f>
        <v>0</v>
      </c>
      <c r="E515" s="138">
        <f>IF(F515=0,0,F515/D515)</f>
        <v>0</v>
      </c>
      <c r="F515" s="215">
        <f>'Appendix J-2'!F31</f>
        <v>0</v>
      </c>
      <c r="G515" s="139" t="e">
        <f>H515/F515</f>
        <v>#DIV/0!</v>
      </c>
      <c r="H515" s="216">
        <f>'Appendix J-2'!H31</f>
        <v>0</v>
      </c>
      <c r="I515" s="706"/>
      <c r="J515" s="205"/>
    </row>
    <row r="516" spans="1:10" x14ac:dyDescent="0.25">
      <c r="A516" s="148">
        <f>A$6</f>
        <v>1288</v>
      </c>
      <c r="B516" s="152">
        <f>(A516-A515)/A515</f>
        <v>8.9678510998307953E-2</v>
      </c>
      <c r="C516" s="140">
        <v>2</v>
      </c>
      <c r="D516" s="215">
        <f>'Appendix J-2'!I31</f>
        <v>0</v>
      </c>
      <c r="E516" s="138">
        <f t="shared" ref="E516:E523" si="216">IF(F516=0,0,F516/D516)</f>
        <v>0</v>
      </c>
      <c r="F516" s="215">
        <f>'Appendix J-2'!K31</f>
        <v>0</v>
      </c>
      <c r="G516" s="139" t="e">
        <f t="shared" ref="G516:G523" si="217">H516/F516</f>
        <v>#DIV/0!</v>
      </c>
      <c r="H516" s="216">
        <f>'Appendix J-2'!M31</f>
        <v>0</v>
      </c>
      <c r="I516" s="706"/>
      <c r="J516" s="205"/>
    </row>
    <row r="517" spans="1:10" x14ac:dyDescent="0.25">
      <c r="A517" s="148">
        <f>A$7</f>
        <v>1495</v>
      </c>
      <c r="B517" s="152">
        <f t="shared" ref="B517:B529" si="218">(A517-A516)/A516</f>
        <v>0.16071428571428573</v>
      </c>
      <c r="C517" s="140">
        <v>3</v>
      </c>
      <c r="D517" s="215">
        <f>'Appendix J-2'!N31</f>
        <v>0</v>
      </c>
      <c r="E517" s="138">
        <f t="shared" si="216"/>
        <v>0</v>
      </c>
      <c r="F517" s="215">
        <f>'Appendix J-2'!P31</f>
        <v>0</v>
      </c>
      <c r="G517" s="139" t="e">
        <f t="shared" si="217"/>
        <v>#DIV/0!</v>
      </c>
      <c r="H517" s="141">
        <f>'Appendix J-2'!R31</f>
        <v>0</v>
      </c>
      <c r="I517" s="706"/>
      <c r="J517" s="205"/>
    </row>
    <row r="518" spans="1:10" x14ac:dyDescent="0.25">
      <c r="A518" s="148">
        <f>A$8</f>
        <v>1484</v>
      </c>
      <c r="B518" s="152">
        <f t="shared" si="218"/>
        <v>-7.3578595317725752E-3</v>
      </c>
      <c r="C518" s="140">
        <f t="shared" ref="C518:C529" si="219">C517+1</f>
        <v>4</v>
      </c>
      <c r="D518" s="215">
        <f>'Appendix J-2'!S31</f>
        <v>0</v>
      </c>
      <c r="E518" s="138">
        <f t="shared" si="216"/>
        <v>0</v>
      </c>
      <c r="F518" s="215">
        <f>'Appendix J-2'!U31</f>
        <v>0</v>
      </c>
      <c r="G518" s="139" t="e">
        <f t="shared" si="217"/>
        <v>#DIV/0!</v>
      </c>
      <c r="H518" s="141">
        <f>'Appendix J-2'!W31</f>
        <v>0</v>
      </c>
      <c r="I518" s="706"/>
      <c r="J518" s="205"/>
    </row>
    <row r="519" spans="1:10" x14ac:dyDescent="0.25">
      <c r="A519" s="148">
        <f>A$9</f>
        <v>1528</v>
      </c>
      <c r="B519" s="152">
        <f t="shared" si="218"/>
        <v>2.9649595687331536E-2</v>
      </c>
      <c r="C519" s="140">
        <f t="shared" si="219"/>
        <v>5</v>
      </c>
      <c r="D519" s="215">
        <f>'Appendix J-2'!X31</f>
        <v>0</v>
      </c>
      <c r="E519" s="138">
        <f t="shared" si="216"/>
        <v>0</v>
      </c>
      <c r="F519" s="215">
        <f>'Appendix J-2'!Z31</f>
        <v>0</v>
      </c>
      <c r="G519" s="139" t="e">
        <f t="shared" si="217"/>
        <v>#DIV/0!</v>
      </c>
      <c r="H519" s="141">
        <f>'Appendix J-2'!AB31</f>
        <v>0</v>
      </c>
      <c r="I519" s="706"/>
      <c r="J519" s="205"/>
    </row>
    <row r="520" spans="1:10" x14ac:dyDescent="0.25">
      <c r="A520" s="148">
        <f>A$10</f>
        <v>1592</v>
      </c>
      <c r="B520" s="152">
        <f t="shared" si="218"/>
        <v>4.1884816753926704E-2</v>
      </c>
      <c r="C520" s="140">
        <f t="shared" si="219"/>
        <v>6</v>
      </c>
      <c r="D520" s="148">
        <f>'Appendix J-2'!AC31</f>
        <v>0</v>
      </c>
      <c r="E520" s="138">
        <f t="shared" si="216"/>
        <v>0</v>
      </c>
      <c r="F520" s="148">
        <f>'Appendix J-2'!AE31</f>
        <v>0</v>
      </c>
      <c r="G520" s="139" t="e">
        <f t="shared" si="217"/>
        <v>#DIV/0!</v>
      </c>
      <c r="H520" s="141">
        <f>'Appendix J-2'!AG31</f>
        <v>0</v>
      </c>
      <c r="I520" s="706"/>
      <c r="J520" s="205"/>
    </row>
    <row r="521" spans="1:10" x14ac:dyDescent="0.25">
      <c r="A521" s="148">
        <f>A$11</f>
        <v>1642</v>
      </c>
      <c r="B521" s="152">
        <f t="shared" si="218"/>
        <v>3.1407035175879394E-2</v>
      </c>
      <c r="C521" s="140">
        <f t="shared" si="219"/>
        <v>7</v>
      </c>
      <c r="D521" s="148">
        <f>'Appendix J-2'!AH31</f>
        <v>2</v>
      </c>
      <c r="E521" s="138">
        <f t="shared" si="216"/>
        <v>1.5</v>
      </c>
      <c r="F521" s="148">
        <f>'Appendix J-2'!AJ31</f>
        <v>3</v>
      </c>
      <c r="G521" s="139">
        <f t="shared" si="217"/>
        <v>30</v>
      </c>
      <c r="H521" s="141">
        <f>'Appendix J-2'!AL31</f>
        <v>90</v>
      </c>
      <c r="I521" s="706"/>
      <c r="J521" s="205"/>
    </row>
    <row r="522" spans="1:10" x14ac:dyDescent="0.25">
      <c r="A522" s="148">
        <f>A$12</f>
        <v>1675</v>
      </c>
      <c r="B522" s="152">
        <f t="shared" si="218"/>
        <v>2.0097442143727162E-2</v>
      </c>
      <c r="C522" s="140">
        <f t="shared" si="219"/>
        <v>8</v>
      </c>
      <c r="D522" s="148">
        <f>'Appendix J-2'!AM31</f>
        <v>3</v>
      </c>
      <c r="E522" s="138">
        <f t="shared" si="216"/>
        <v>9</v>
      </c>
      <c r="F522" s="148">
        <f>'Appendix J-2'!AO31</f>
        <v>27</v>
      </c>
      <c r="G522" s="139">
        <f t="shared" si="217"/>
        <v>30</v>
      </c>
      <c r="H522" s="141">
        <f>'Appendix J-2'!AQ31</f>
        <v>810</v>
      </c>
      <c r="I522" s="706"/>
      <c r="J522" s="205"/>
    </row>
    <row r="523" spans="1:10" x14ac:dyDescent="0.25">
      <c r="A523" s="148">
        <f>A$13</f>
        <v>1739</v>
      </c>
      <c r="B523" s="152">
        <f t="shared" si="218"/>
        <v>3.8208955223880597E-2</v>
      </c>
      <c r="C523" s="140">
        <f t="shared" si="219"/>
        <v>9</v>
      </c>
      <c r="D523" s="148">
        <f>'Appendix J-2'!AR31</f>
        <v>3</v>
      </c>
      <c r="E523" s="138">
        <f t="shared" si="216"/>
        <v>4</v>
      </c>
      <c r="F523" s="148">
        <f>'Appendix J-2'!AT31</f>
        <v>12</v>
      </c>
      <c r="G523" s="139">
        <f t="shared" si="217"/>
        <v>30</v>
      </c>
      <c r="H523" s="141">
        <f>'Appendix J-2'!AV31</f>
        <v>360</v>
      </c>
      <c r="I523" s="706"/>
      <c r="J523" s="205"/>
    </row>
    <row r="524" spans="1:10" x14ac:dyDescent="0.25">
      <c r="A524" s="148">
        <f>A$14</f>
        <v>1752</v>
      </c>
      <c r="B524" s="152">
        <f t="shared" si="218"/>
        <v>7.4755606670500289E-3</v>
      </c>
      <c r="C524" s="140">
        <f t="shared" si="219"/>
        <v>10</v>
      </c>
      <c r="D524" s="148">
        <f>ROUND((TREND($D$504:$D$505,$C$504:$C$505,C524)),0)</f>
        <v>0</v>
      </c>
      <c r="E524" s="138">
        <f>TREND($E$504:$E$505,$C$504:$C$505,C524)</f>
        <v>1</v>
      </c>
      <c r="F524" s="148">
        <f>D524*12</f>
        <v>0</v>
      </c>
      <c r="G524" s="139">
        <f>'DDS Rates for Amend'!AB17</f>
        <v>30.7</v>
      </c>
      <c r="H524" s="141">
        <f>F524*G524</f>
        <v>0</v>
      </c>
      <c r="I524" s="706"/>
      <c r="J524" s="205"/>
    </row>
    <row r="525" spans="1:10" x14ac:dyDescent="0.25">
      <c r="A525" s="148">
        <f>A$15</f>
        <v>1822</v>
      </c>
      <c r="B525" s="152">
        <f t="shared" si="218"/>
        <v>3.9954337899543377E-2</v>
      </c>
      <c r="C525" s="140">
        <f t="shared" si="219"/>
        <v>11</v>
      </c>
      <c r="D525" s="148"/>
      <c r="E525" s="138"/>
      <c r="F525" s="148">
        <f t="shared" ref="F525:F529" si="220">D525*12</f>
        <v>0</v>
      </c>
      <c r="G525" s="139">
        <f>'DDS Rates for Amend'!AB18</f>
        <v>31.498200000000001</v>
      </c>
      <c r="H525" s="141">
        <f t="shared" ref="H525:H529" si="221">F525*G525</f>
        <v>0</v>
      </c>
      <c r="I525" s="706"/>
      <c r="J525" s="205"/>
    </row>
    <row r="526" spans="1:10" x14ac:dyDescent="0.25">
      <c r="A526" s="148">
        <f>A$16</f>
        <v>1872</v>
      </c>
      <c r="B526" s="152">
        <f t="shared" si="218"/>
        <v>2.7442371020856202E-2</v>
      </c>
      <c r="C526" s="140">
        <f t="shared" si="219"/>
        <v>12</v>
      </c>
      <c r="D526" s="148"/>
      <c r="E526" s="138"/>
      <c r="F526" s="148">
        <f t="shared" si="220"/>
        <v>0</v>
      </c>
      <c r="G526" s="139">
        <f>'DDS Rates for Amend'!AB19</f>
        <v>32.3171532</v>
      </c>
      <c r="H526" s="141">
        <f t="shared" si="221"/>
        <v>0</v>
      </c>
      <c r="I526" s="706"/>
      <c r="J526" s="205"/>
    </row>
    <row r="527" spans="1:10" x14ac:dyDescent="0.25">
      <c r="A527" s="148">
        <f>A$17</f>
        <v>1902</v>
      </c>
      <c r="B527" s="152">
        <f t="shared" si="218"/>
        <v>1.6025641025641024E-2</v>
      </c>
      <c r="C527" s="140">
        <f t="shared" si="219"/>
        <v>13</v>
      </c>
      <c r="D527" s="148"/>
      <c r="E527" s="138"/>
      <c r="F527" s="148">
        <f t="shared" si="220"/>
        <v>0</v>
      </c>
      <c r="G527" s="139">
        <f>'DDS Rates for Amend'!AB20</f>
        <v>33.157399183199999</v>
      </c>
      <c r="H527" s="141">
        <f t="shared" si="221"/>
        <v>0</v>
      </c>
      <c r="I527" s="706"/>
      <c r="J527" s="205"/>
    </row>
    <row r="528" spans="1:10" x14ac:dyDescent="0.25">
      <c r="A528" s="148">
        <f>A$18</f>
        <v>1932</v>
      </c>
      <c r="B528" s="152">
        <f t="shared" si="218"/>
        <v>1.5772870662460567E-2</v>
      </c>
      <c r="C528" s="140">
        <f t="shared" si="219"/>
        <v>14</v>
      </c>
      <c r="D528" s="148"/>
      <c r="E528" s="138"/>
      <c r="F528" s="148">
        <f t="shared" si="220"/>
        <v>0</v>
      </c>
      <c r="G528" s="139">
        <f>'DDS Rates for Amend'!AB21</f>
        <v>34.0194915619632</v>
      </c>
      <c r="H528" s="141">
        <f t="shared" si="221"/>
        <v>0</v>
      </c>
      <c r="I528" s="706"/>
      <c r="J528" s="205"/>
    </row>
    <row r="529" spans="1:22" x14ac:dyDescent="0.25">
      <c r="A529" s="148">
        <f>A$19</f>
        <v>1962</v>
      </c>
      <c r="B529" s="152">
        <f t="shared" si="218"/>
        <v>1.5527950310559006E-2</v>
      </c>
      <c r="C529" s="140">
        <f t="shared" si="219"/>
        <v>15</v>
      </c>
      <c r="D529" s="148"/>
      <c r="E529" s="138"/>
      <c r="F529" s="148">
        <f t="shared" si="220"/>
        <v>0</v>
      </c>
      <c r="G529" s="139">
        <f>'DDS Rates for Amend'!AB22</f>
        <v>34.903998342574241</v>
      </c>
      <c r="H529" s="141">
        <f t="shared" si="221"/>
        <v>0</v>
      </c>
      <c r="I529" s="707"/>
      <c r="J529" s="205"/>
      <c r="K529" s="285">
        <f>SUM(H515:H529)</f>
        <v>1260</v>
      </c>
      <c r="L529" s="17">
        <f>IF(K529='Appendix J-2'!CD31,0,error)</f>
        <v>0</v>
      </c>
    </row>
    <row r="530" spans="1:22" x14ac:dyDescent="0.25">
      <c r="C530"/>
      <c r="I530" s="568"/>
      <c r="J530"/>
    </row>
    <row r="531" spans="1:22" x14ac:dyDescent="0.25">
      <c r="A531" s="696" t="s">
        <v>220</v>
      </c>
      <c r="B531" s="697"/>
      <c r="C531" s="697"/>
      <c r="D531" s="698"/>
      <c r="E531" s="224"/>
      <c r="F531" s="699"/>
      <c r="G531" s="699"/>
      <c r="H531" s="699"/>
      <c r="I531" s="705" t="s">
        <v>278</v>
      </c>
      <c r="J531" s="205"/>
    </row>
    <row r="532" spans="1:22" x14ac:dyDescent="0.25">
      <c r="A532" s="151" t="s">
        <v>26</v>
      </c>
      <c r="B532" s="151" t="s">
        <v>27</v>
      </c>
      <c r="C532" s="168" t="s">
        <v>166</v>
      </c>
      <c r="D532" s="260" t="s">
        <v>154</v>
      </c>
      <c r="E532" s="261" t="s">
        <v>155</v>
      </c>
      <c r="F532" s="262" t="s">
        <v>158</v>
      </c>
      <c r="G532" s="239" t="s">
        <v>156</v>
      </c>
      <c r="H532" s="239" t="s">
        <v>157</v>
      </c>
      <c r="I532" s="706"/>
      <c r="J532" s="203"/>
    </row>
    <row r="533" spans="1:22" ht="15" customHeight="1" x14ac:dyDescent="0.25">
      <c r="A533" s="148">
        <f>A$5</f>
        <v>1182</v>
      </c>
      <c r="B533" s="148"/>
      <c r="C533" s="137">
        <v>1</v>
      </c>
      <c r="D533" s="215">
        <f>'Appendix J-2'!D32</f>
        <v>0</v>
      </c>
      <c r="E533" s="138">
        <f>IF(F533=0,0,F533/D533)</f>
        <v>0</v>
      </c>
      <c r="F533" s="215">
        <f>'Appendix J-2'!F32</f>
        <v>0</v>
      </c>
      <c r="G533" s="258" t="e">
        <f>H533/F533</f>
        <v>#DIV/0!</v>
      </c>
      <c r="H533" s="216">
        <f>'Appendix J-2'!H32</f>
        <v>0</v>
      </c>
      <c r="I533" s="706"/>
      <c r="J533" s="200"/>
    </row>
    <row r="534" spans="1:22" x14ac:dyDescent="0.25">
      <c r="A534" s="148">
        <f>A$6</f>
        <v>1288</v>
      </c>
      <c r="B534" s="152">
        <f>(A534-A533)/A533</f>
        <v>8.9678510998307953E-2</v>
      </c>
      <c r="C534" s="140">
        <v>2</v>
      </c>
      <c r="D534" s="215">
        <f>'Appendix J-2'!I32</f>
        <v>0</v>
      </c>
      <c r="E534" s="138">
        <f t="shared" ref="E534:E542" si="222">IF(F534=0,0,F534/D534)</f>
        <v>0</v>
      </c>
      <c r="F534" s="215">
        <f>'Appendix J-2'!K32</f>
        <v>0</v>
      </c>
      <c r="G534" s="258" t="e">
        <f t="shared" ref="G534:G542" si="223">H534/F534</f>
        <v>#DIV/0!</v>
      </c>
      <c r="H534" s="216">
        <f>'Appendix J-2'!M32</f>
        <v>0</v>
      </c>
      <c r="I534" s="706"/>
      <c r="J534" s="200"/>
    </row>
    <row r="535" spans="1:22" x14ac:dyDescent="0.25">
      <c r="A535" s="148">
        <f>A$7</f>
        <v>1495</v>
      </c>
      <c r="B535" s="152">
        <f t="shared" ref="B535:B542" si="224">(A535-A534)/A534</f>
        <v>0.16071428571428573</v>
      </c>
      <c r="C535" s="140">
        <v>3</v>
      </c>
      <c r="D535" s="215">
        <f>'Appendix J-2'!N32</f>
        <v>0</v>
      </c>
      <c r="E535" s="138">
        <f t="shared" si="222"/>
        <v>0</v>
      </c>
      <c r="F535" s="215">
        <f>'Appendix J-2'!P32</f>
        <v>0</v>
      </c>
      <c r="G535" s="258" t="e">
        <f t="shared" si="223"/>
        <v>#DIV/0!</v>
      </c>
      <c r="H535" s="141">
        <f>'Appendix J-2'!R32</f>
        <v>0</v>
      </c>
      <c r="I535" s="706"/>
      <c r="J535" s="201"/>
    </row>
    <row r="536" spans="1:22" x14ac:dyDescent="0.25">
      <c r="A536" s="148">
        <f>A$8</f>
        <v>1484</v>
      </c>
      <c r="B536" s="152">
        <f t="shared" si="224"/>
        <v>-7.3578595317725752E-3</v>
      </c>
      <c r="C536" s="140">
        <f t="shared" ref="C536:C542" si="225">C535+1</f>
        <v>4</v>
      </c>
      <c r="D536" s="215">
        <f>'Appendix J-2'!S32</f>
        <v>0</v>
      </c>
      <c r="E536" s="138">
        <f t="shared" si="222"/>
        <v>0</v>
      </c>
      <c r="F536" s="215">
        <f>'Appendix J-2'!U32</f>
        <v>0</v>
      </c>
      <c r="G536" s="258" t="e">
        <f t="shared" si="223"/>
        <v>#DIV/0!</v>
      </c>
      <c r="H536" s="141">
        <f>'Appendix J-2'!W32</f>
        <v>0</v>
      </c>
      <c r="I536" s="706"/>
      <c r="J536" s="201"/>
    </row>
    <row r="537" spans="1:22" x14ac:dyDescent="0.25">
      <c r="A537" s="148">
        <f>A$9</f>
        <v>1528</v>
      </c>
      <c r="B537" s="152">
        <f t="shared" si="224"/>
        <v>2.9649595687331536E-2</v>
      </c>
      <c r="C537" s="140">
        <f t="shared" si="225"/>
        <v>5</v>
      </c>
      <c r="D537" s="215">
        <f>'Appendix J-2'!X32</f>
        <v>0</v>
      </c>
      <c r="E537" s="138">
        <f t="shared" si="222"/>
        <v>0</v>
      </c>
      <c r="F537" s="215">
        <f>'Appendix J-2'!Z32</f>
        <v>0</v>
      </c>
      <c r="G537" s="258" t="e">
        <f t="shared" si="223"/>
        <v>#DIV/0!</v>
      </c>
      <c r="H537" s="141">
        <f>'Appendix J-2'!AB32</f>
        <v>0</v>
      </c>
      <c r="I537" s="706"/>
      <c r="J537" s="201"/>
    </row>
    <row r="538" spans="1:22" x14ac:dyDescent="0.25">
      <c r="A538" s="148">
        <f>A$10</f>
        <v>1592</v>
      </c>
      <c r="B538" s="152">
        <f t="shared" si="224"/>
        <v>4.1884816753926704E-2</v>
      </c>
      <c r="C538" s="140">
        <f t="shared" si="225"/>
        <v>6</v>
      </c>
      <c r="D538" s="148">
        <f>'Appendix J-2'!AC32</f>
        <v>0</v>
      </c>
      <c r="E538" s="138">
        <f t="shared" si="222"/>
        <v>0</v>
      </c>
      <c r="F538" s="148">
        <f>'Appendix J-2'!AE32</f>
        <v>0</v>
      </c>
      <c r="G538" s="258" t="e">
        <f t="shared" si="223"/>
        <v>#DIV/0!</v>
      </c>
      <c r="H538" s="141">
        <f>'Appendix J-2'!AG32</f>
        <v>0</v>
      </c>
      <c r="I538" s="706"/>
      <c r="J538" s="202"/>
    </row>
    <row r="539" spans="1:22" x14ac:dyDescent="0.25">
      <c r="A539" s="148">
        <f>A$11</f>
        <v>1642</v>
      </c>
      <c r="B539" s="152">
        <f t="shared" si="224"/>
        <v>3.1407035175879394E-2</v>
      </c>
      <c r="C539" s="140">
        <f t="shared" si="225"/>
        <v>7</v>
      </c>
      <c r="D539" s="148">
        <f>'Appendix J-2'!AH32</f>
        <v>0</v>
      </c>
      <c r="E539" s="138">
        <f t="shared" si="222"/>
        <v>0</v>
      </c>
      <c r="F539" s="148">
        <f>'Appendix J-2'!AJ32</f>
        <v>0</v>
      </c>
      <c r="G539" s="258" t="e">
        <f t="shared" si="223"/>
        <v>#DIV/0!</v>
      </c>
      <c r="H539" s="141">
        <f>'Appendix J-2'!AL32</f>
        <v>0</v>
      </c>
      <c r="I539" s="706"/>
      <c r="J539" s="202"/>
    </row>
    <row r="540" spans="1:22" x14ac:dyDescent="0.25">
      <c r="A540" s="148">
        <f>A$12</f>
        <v>1675</v>
      </c>
      <c r="B540" s="152">
        <f t="shared" si="224"/>
        <v>2.0097442143727162E-2</v>
      </c>
      <c r="C540" s="140">
        <f t="shared" si="225"/>
        <v>8</v>
      </c>
      <c r="D540" s="148">
        <f>'Appendix J-2'!AM32</f>
        <v>0</v>
      </c>
      <c r="E540" s="138">
        <f t="shared" si="222"/>
        <v>0</v>
      </c>
      <c r="F540" s="148">
        <f>'Appendix J-2'!AO32</f>
        <v>0</v>
      </c>
      <c r="G540" s="258" t="e">
        <f t="shared" si="223"/>
        <v>#DIV/0!</v>
      </c>
      <c r="H540" s="141">
        <f>'Appendix J-2'!AQ32</f>
        <v>0</v>
      </c>
      <c r="I540" s="706"/>
      <c r="J540" s="202"/>
      <c r="V540" s="135"/>
    </row>
    <row r="541" spans="1:22" x14ac:dyDescent="0.25">
      <c r="A541" s="148">
        <f>A$13</f>
        <v>1739</v>
      </c>
      <c r="B541" s="152">
        <f t="shared" si="224"/>
        <v>3.8208955223880597E-2</v>
      </c>
      <c r="C541" s="140">
        <f t="shared" si="225"/>
        <v>9</v>
      </c>
      <c r="D541" s="148">
        <f>'Appendix J-2'!AR32</f>
        <v>0</v>
      </c>
      <c r="E541" s="138">
        <f t="shared" si="222"/>
        <v>0</v>
      </c>
      <c r="F541" s="148">
        <f>'Appendix J-2'!AT32</f>
        <v>0</v>
      </c>
      <c r="G541" s="258" t="e">
        <f t="shared" si="223"/>
        <v>#DIV/0!</v>
      </c>
      <c r="H541" s="141">
        <f>'Appendix J-2'!AV32</f>
        <v>0</v>
      </c>
      <c r="I541" s="706"/>
      <c r="J541" s="202"/>
    </row>
    <row r="542" spans="1:22" x14ac:dyDescent="0.25">
      <c r="A542" s="148">
        <f>A$14</f>
        <v>1752</v>
      </c>
      <c r="B542" s="152">
        <f t="shared" si="224"/>
        <v>7.4755606670500289E-3</v>
      </c>
      <c r="C542" s="140">
        <f t="shared" si="225"/>
        <v>10</v>
      </c>
      <c r="D542" s="148">
        <v>0</v>
      </c>
      <c r="E542" s="138">
        <f t="shared" si="222"/>
        <v>0</v>
      </c>
      <c r="F542" s="148">
        <v>0</v>
      </c>
      <c r="G542" s="258" t="e">
        <f t="shared" si="223"/>
        <v>#DIV/0!</v>
      </c>
      <c r="H542" s="141">
        <v>0</v>
      </c>
      <c r="I542" s="707"/>
      <c r="J542" s="202"/>
      <c r="K542" s="285">
        <f>SUM(H533:H542)</f>
        <v>0</v>
      </c>
    </row>
    <row r="543" spans="1:22" x14ac:dyDescent="0.25">
      <c r="C543"/>
      <c r="I543" s="568"/>
      <c r="J543"/>
    </row>
    <row r="544" spans="1:22" x14ac:dyDescent="0.25">
      <c r="A544" s="272" t="s">
        <v>221</v>
      </c>
      <c r="B544" s="272"/>
      <c r="C544" s="272"/>
      <c r="D544" s="292" t="str">
        <f>'Appendix J-2'!B33</f>
        <v>Visit</v>
      </c>
      <c r="E544" s="223" t="str">
        <f>'Appendix J-2'!C33</f>
        <v>15 minutes</v>
      </c>
      <c r="F544" s="690"/>
      <c r="G544" s="690"/>
      <c r="H544" s="690"/>
      <c r="I544" s="687" t="s">
        <v>1067</v>
      </c>
      <c r="J544" s="205"/>
    </row>
    <row r="545" spans="1:22" x14ac:dyDescent="0.25">
      <c r="A545" s="147" t="s">
        <v>26</v>
      </c>
      <c r="B545" s="147" t="s">
        <v>27</v>
      </c>
      <c r="C545" s="50" t="s">
        <v>166</v>
      </c>
      <c r="D545" s="91" t="s">
        <v>154</v>
      </c>
      <c r="E545" s="89" t="s">
        <v>155</v>
      </c>
      <c r="F545" s="34" t="s">
        <v>158</v>
      </c>
      <c r="G545" s="35" t="s">
        <v>156</v>
      </c>
      <c r="H545" s="51" t="s">
        <v>157</v>
      </c>
      <c r="I545" s="688"/>
      <c r="J545" s="205"/>
    </row>
    <row r="546" spans="1:22" ht="15" customHeight="1" x14ac:dyDescent="0.25">
      <c r="A546" s="21">
        <f>A$5</f>
        <v>1182</v>
      </c>
      <c r="B546" s="148"/>
      <c r="C546" s="144">
        <v>1</v>
      </c>
      <c r="D546" s="247">
        <f>'Appendix J-2'!D33</f>
        <v>332</v>
      </c>
      <c r="E546" s="22">
        <f>IF(F546=0,0,F546/D546)</f>
        <v>3855.7921686746986</v>
      </c>
      <c r="F546" s="247">
        <f>'Appendix J-2'!F33</f>
        <v>1280123</v>
      </c>
      <c r="G546" s="24">
        <f>H546/F546</f>
        <v>5.1312408417003681</v>
      </c>
      <c r="H546" s="250">
        <f>'Appendix J-2'!H33</f>
        <v>6568619.4199999999</v>
      </c>
      <c r="I546" s="688"/>
      <c r="J546" s="205"/>
    </row>
    <row r="547" spans="1:22" x14ac:dyDescent="0.25">
      <c r="A547" s="21">
        <f>A$6</f>
        <v>1288</v>
      </c>
      <c r="B547" s="149">
        <f>(A547-A546)/A546</f>
        <v>8.9678510998307953E-2</v>
      </c>
      <c r="C547" s="52">
        <v>2</v>
      </c>
      <c r="D547" s="247">
        <f>'Appendix J-2'!I33</f>
        <v>320</v>
      </c>
      <c r="E547" s="22">
        <f t="shared" ref="E547:E554" si="226">IF(F547=0,0,F547/D547)</f>
        <v>5016.5</v>
      </c>
      <c r="F547" s="247">
        <f>'Appendix J-2'!K33</f>
        <v>1605280</v>
      </c>
      <c r="G547" s="24">
        <f t="shared" ref="G547:G554" si="227">H547/F547</f>
        <v>5.1346215987242108</v>
      </c>
      <c r="H547" s="250">
        <f>'Appendix J-2'!M33</f>
        <v>8242505.3600000003</v>
      </c>
      <c r="I547" s="688"/>
      <c r="J547" s="205"/>
    </row>
    <row r="548" spans="1:22" x14ac:dyDescent="0.25">
      <c r="A548" s="21">
        <f>A$7</f>
        <v>1495</v>
      </c>
      <c r="B548" s="149">
        <f t="shared" ref="B548:B560" si="228">(A548-A547)/A547</f>
        <v>0.16071428571428573</v>
      </c>
      <c r="C548" s="52">
        <v>3</v>
      </c>
      <c r="D548" s="247">
        <f>'Appendix J-2'!N33</f>
        <v>359</v>
      </c>
      <c r="E548" s="22">
        <f t="shared" si="226"/>
        <v>5082.1559888579386</v>
      </c>
      <c r="F548" s="247">
        <f>'Appendix J-2'!P33</f>
        <v>1824494</v>
      </c>
      <c r="G548" s="24">
        <f t="shared" si="227"/>
        <v>5.1177936238759898</v>
      </c>
      <c r="H548" s="248">
        <f>'Appendix J-2'!R33</f>
        <v>9337383.7599999998</v>
      </c>
      <c r="I548" s="688"/>
      <c r="J548" s="205"/>
    </row>
    <row r="549" spans="1:22" x14ac:dyDescent="0.25">
      <c r="A549" s="21">
        <f>A$8</f>
        <v>1484</v>
      </c>
      <c r="B549" s="149">
        <f t="shared" si="228"/>
        <v>-7.3578595317725752E-3</v>
      </c>
      <c r="C549" s="52">
        <f t="shared" ref="C549:C560" si="229">C548+1</f>
        <v>4</v>
      </c>
      <c r="D549" s="247">
        <f>'Appendix J-2'!S33</f>
        <v>380</v>
      </c>
      <c r="E549" s="22">
        <f t="shared" si="226"/>
        <v>5521.3183947368425</v>
      </c>
      <c r="F549" s="247">
        <f>'Appendix J-2'!U33</f>
        <v>2098100.9900000002</v>
      </c>
      <c r="G549" s="24">
        <f t="shared" si="227"/>
        <v>5.1479100155231317</v>
      </c>
      <c r="H549" s="248">
        <f>'Appendix J-2'!W33</f>
        <v>10800835.1</v>
      </c>
      <c r="I549" s="688"/>
      <c r="J549" s="205"/>
    </row>
    <row r="550" spans="1:22" x14ac:dyDescent="0.25">
      <c r="A550" s="21">
        <f>A$9</f>
        <v>1528</v>
      </c>
      <c r="B550" s="149">
        <f t="shared" si="228"/>
        <v>2.9649595687331536E-2</v>
      </c>
      <c r="C550" s="52">
        <f t="shared" si="229"/>
        <v>5</v>
      </c>
      <c r="D550" s="247">
        <f>'Appendix J-2'!X33</f>
        <v>422</v>
      </c>
      <c r="E550" s="22">
        <f t="shared" si="226"/>
        <v>5707.8856161137437</v>
      </c>
      <c r="F550" s="247">
        <f>'Appendix J-2'!Z33</f>
        <v>2408727.73</v>
      </c>
      <c r="G550" s="24">
        <f t="shared" si="227"/>
        <v>5.1488801476122008</v>
      </c>
      <c r="H550" s="248">
        <f>'Appendix J-2'!AB33</f>
        <v>12402250.390000001</v>
      </c>
      <c r="I550" s="688"/>
      <c r="J550" s="205"/>
    </row>
    <row r="551" spans="1:22" x14ac:dyDescent="0.25">
      <c r="A551" s="21">
        <f>A$10</f>
        <v>1592</v>
      </c>
      <c r="B551" s="149">
        <f t="shared" si="228"/>
        <v>4.1884816753926704E-2</v>
      </c>
      <c r="C551" s="20">
        <f t="shared" si="229"/>
        <v>6</v>
      </c>
      <c r="D551" s="249">
        <f>'Appendix J-2'!AC33</f>
        <v>827</v>
      </c>
      <c r="E551" s="22">
        <f t="shared" si="226"/>
        <v>3454.8839177750906</v>
      </c>
      <c r="F551" s="249">
        <f>'Appendix J-2'!AE33</f>
        <v>2857189</v>
      </c>
      <c r="G551" s="24">
        <f t="shared" si="227"/>
        <v>5.2135698408470708</v>
      </c>
      <c r="H551" s="248">
        <f>'Appendix J-2'!AG33</f>
        <v>14896154.4</v>
      </c>
      <c r="I551" s="688"/>
      <c r="J551" s="205"/>
      <c r="N551" s="87" t="s">
        <v>509</v>
      </c>
    </row>
    <row r="552" spans="1:22" x14ac:dyDescent="0.25">
      <c r="A552" s="21">
        <f>A$11</f>
        <v>1642</v>
      </c>
      <c r="B552" s="149">
        <f t="shared" si="228"/>
        <v>3.1407035175879394E-2</v>
      </c>
      <c r="C552" s="20">
        <f t="shared" si="229"/>
        <v>7</v>
      </c>
      <c r="D552" s="249">
        <f>'Appendix J-2'!AH33</f>
        <v>873</v>
      </c>
      <c r="E552" s="22">
        <f t="shared" si="226"/>
        <v>3634.1271477663231</v>
      </c>
      <c r="F552" s="249">
        <f>'Appendix J-2'!AJ33</f>
        <v>3172593</v>
      </c>
      <c r="G552" s="24">
        <f t="shared" si="227"/>
        <v>5.2796124967810245</v>
      </c>
      <c r="H552" s="248">
        <f>'Appendix J-2'!AL33</f>
        <v>16750061.65</v>
      </c>
      <c r="I552" s="688"/>
      <c r="J552" s="205"/>
      <c r="N552" s="31" t="s">
        <v>506</v>
      </c>
      <c r="O552" s="31">
        <v>2014</v>
      </c>
      <c r="P552" s="31">
        <v>499</v>
      </c>
      <c r="Q552" s="90"/>
    </row>
    <row r="553" spans="1:22" x14ac:dyDescent="0.25">
      <c r="A553" s="21">
        <f>A$12</f>
        <v>1675</v>
      </c>
      <c r="B553" s="149">
        <f t="shared" si="228"/>
        <v>2.0097442143727162E-2</v>
      </c>
      <c r="C553" s="20">
        <f t="shared" si="229"/>
        <v>8</v>
      </c>
      <c r="D553" s="249">
        <f>'Appendix J-2'!AM33</f>
        <v>509</v>
      </c>
      <c r="E553" s="22">
        <f t="shared" si="226"/>
        <v>6842.5245579567782</v>
      </c>
      <c r="F553" s="249">
        <f>'Appendix J-2'!AO33</f>
        <v>3482845</v>
      </c>
      <c r="G553" s="24">
        <f t="shared" si="227"/>
        <v>5.7083939595359539</v>
      </c>
      <c r="H553" s="248">
        <f>'Appendix J-2'!AQ33</f>
        <v>19881451.359999999</v>
      </c>
      <c r="I553" s="688"/>
      <c r="J553" s="205"/>
      <c r="N553" s="31" t="s">
        <v>507</v>
      </c>
      <c r="O553" s="31">
        <v>2015</v>
      </c>
      <c r="P553" s="31">
        <v>471</v>
      </c>
      <c r="Q553" s="90"/>
    </row>
    <row r="554" spans="1:22" x14ac:dyDescent="0.25">
      <c r="A554" s="21">
        <f>A$13</f>
        <v>1739</v>
      </c>
      <c r="B554" s="149">
        <f t="shared" si="228"/>
        <v>3.8208955223880597E-2</v>
      </c>
      <c r="C554" s="20">
        <f t="shared" si="229"/>
        <v>9</v>
      </c>
      <c r="D554" s="249">
        <f>'Appendix J-2'!AR33</f>
        <v>555</v>
      </c>
      <c r="E554" s="22">
        <f t="shared" si="226"/>
        <v>6796.6054054054057</v>
      </c>
      <c r="F554" s="249">
        <f>'Appendix J-2'!AT33</f>
        <v>3772116</v>
      </c>
      <c r="G554" s="24">
        <f t="shared" si="227"/>
        <v>5.7839296113905299</v>
      </c>
      <c r="H554" s="248">
        <f>'Appendix J-2'!AV33</f>
        <v>21817653.43</v>
      </c>
      <c r="I554" s="688"/>
      <c r="J554" s="205"/>
      <c r="N554" s="31" t="s">
        <v>508</v>
      </c>
      <c r="O554" s="31">
        <v>2016</v>
      </c>
      <c r="P554" s="31">
        <v>528</v>
      </c>
      <c r="Q554" s="90"/>
      <c r="R554" s="420"/>
      <c r="S554" s="278"/>
      <c r="T554" s="278"/>
      <c r="U554" s="278"/>
    </row>
    <row r="555" spans="1:22" x14ac:dyDescent="0.25">
      <c r="A555" s="21">
        <f>A$14</f>
        <v>1752</v>
      </c>
      <c r="B555" s="149">
        <f t="shared" si="228"/>
        <v>7.4755606670500289E-3</v>
      </c>
      <c r="C555" s="20">
        <f t="shared" si="229"/>
        <v>10</v>
      </c>
      <c r="D555" s="21">
        <f>ROUND((D554+(A555-A554)),0)</f>
        <v>568</v>
      </c>
      <c r="E555" s="22">
        <f>IF(TREND($E$546:$E$554,$C$546:$C$554,C555)&lt;11680,TREND($E$546:$E$554,$C$546:$C$554,C555),11680)</f>
        <v>6124.5465603914399</v>
      </c>
      <c r="F555" s="21">
        <f>D555*E555</f>
        <v>3478742.446302338</v>
      </c>
      <c r="G555" s="24">
        <f>'DDS Rates for Amend'!AD17</f>
        <v>5.88</v>
      </c>
      <c r="H555" s="33">
        <f>F555*G555</f>
        <v>20455005.584257748</v>
      </c>
      <c r="I555" s="688"/>
      <c r="J555" s="205"/>
      <c r="P555" s="336"/>
    </row>
    <row r="556" spans="1:22" x14ac:dyDescent="0.25">
      <c r="A556" s="21">
        <f>A$15</f>
        <v>1822</v>
      </c>
      <c r="B556" s="149">
        <f t="shared" si="228"/>
        <v>3.9954337899543377E-2</v>
      </c>
      <c r="C556" s="20">
        <f t="shared" si="229"/>
        <v>11</v>
      </c>
      <c r="D556" s="21">
        <f t="shared" ref="D556:D560" si="230">ROUND((D555+(A556-A555)),0)</f>
        <v>638</v>
      </c>
      <c r="E556" s="22">
        <f t="shared" ref="E556:E560" si="231">IF(TREND($E$546:$E$554,$C$546:$C$554,C556)&lt;11680,TREND($E$546:$E$554,$C$546:$C$554,C556),11680)</f>
        <v>6329.1938014189091</v>
      </c>
      <c r="F556" s="21">
        <f t="shared" ref="F556:F560" si="232">D556*E556</f>
        <v>4038025.6453052638</v>
      </c>
      <c r="G556" s="24">
        <f>'DDS Rates for Amend'!AD18</f>
        <v>6.0328799999999996</v>
      </c>
      <c r="H556" s="33">
        <f t="shared" ref="H556:H560" si="233">F556*G556</f>
        <v>24360924.15504922</v>
      </c>
      <c r="I556" s="688"/>
      <c r="J556" s="205"/>
      <c r="S556" s="407"/>
      <c r="T556" s="407"/>
      <c r="U556" s="407"/>
      <c r="V556" s="407"/>
    </row>
    <row r="557" spans="1:22" x14ac:dyDescent="0.25">
      <c r="A557" s="21">
        <f>A$16</f>
        <v>1872</v>
      </c>
      <c r="B557" s="149">
        <f t="shared" si="228"/>
        <v>2.7442371020856202E-2</v>
      </c>
      <c r="C557" s="20">
        <f t="shared" si="229"/>
        <v>12</v>
      </c>
      <c r="D557" s="21">
        <f t="shared" si="230"/>
        <v>688</v>
      </c>
      <c r="E557" s="22">
        <f t="shared" si="231"/>
        <v>6533.8410424463791</v>
      </c>
      <c r="F557" s="21">
        <f t="shared" si="232"/>
        <v>4495282.6372031085</v>
      </c>
      <c r="G557" s="24">
        <f>'DDS Rates for Amend'!AD19</f>
        <v>6.1897348799999996</v>
      </c>
      <c r="H557" s="33">
        <f t="shared" si="233"/>
        <v>27824607.734954465</v>
      </c>
      <c r="I557" s="688"/>
      <c r="J557" s="205"/>
      <c r="S557" s="407"/>
      <c r="T557" s="407"/>
      <c r="U557" s="407"/>
      <c r="V557" s="407"/>
    </row>
    <row r="558" spans="1:22" x14ac:dyDescent="0.25">
      <c r="A558" s="21">
        <f>A$17</f>
        <v>1902</v>
      </c>
      <c r="B558" s="149">
        <f t="shared" si="228"/>
        <v>1.6025641025641024E-2</v>
      </c>
      <c r="C558" s="20">
        <f t="shared" si="229"/>
        <v>13</v>
      </c>
      <c r="D558" s="21">
        <f t="shared" si="230"/>
        <v>718</v>
      </c>
      <c r="E558" s="22">
        <f t="shared" si="231"/>
        <v>6738.4882834738492</v>
      </c>
      <c r="F558" s="21">
        <f t="shared" si="232"/>
        <v>4838234.5875342237</v>
      </c>
      <c r="G558" s="24">
        <f>'DDS Rates for Amend'!AD20</f>
        <v>6.3506679868799996</v>
      </c>
      <c r="H558" s="33">
        <f t="shared" si="233"/>
        <v>30726021.508069154</v>
      </c>
      <c r="I558" s="688"/>
      <c r="J558" s="205"/>
      <c r="S558" s="407"/>
      <c r="T558" s="407"/>
      <c r="U558" s="407"/>
      <c r="V558" s="407"/>
    </row>
    <row r="559" spans="1:22" x14ac:dyDescent="0.25">
      <c r="A559" s="21">
        <f>A$18</f>
        <v>1932</v>
      </c>
      <c r="B559" s="149">
        <f t="shared" si="228"/>
        <v>1.5772870662460567E-2</v>
      </c>
      <c r="C559" s="20">
        <f t="shared" si="229"/>
        <v>14</v>
      </c>
      <c r="D559" s="21">
        <f t="shared" si="230"/>
        <v>748</v>
      </c>
      <c r="E559" s="22">
        <f t="shared" si="231"/>
        <v>6943.1355245013183</v>
      </c>
      <c r="F559" s="21">
        <f t="shared" si="232"/>
        <v>5193465.3723269859</v>
      </c>
      <c r="G559" s="24">
        <f>'DDS Rates for Amend'!AD21</f>
        <v>6.5157853545388793</v>
      </c>
      <c r="H559" s="33">
        <f t="shared" si="233"/>
        <v>33839505.61231298</v>
      </c>
      <c r="I559" s="688"/>
      <c r="J559" s="205"/>
      <c r="S559" s="407"/>
      <c r="T559" s="407"/>
      <c r="U559" s="407"/>
      <c r="V559" s="407"/>
    </row>
    <row r="560" spans="1:22" x14ac:dyDescent="0.25">
      <c r="A560" s="21">
        <f>A$19</f>
        <v>1962</v>
      </c>
      <c r="B560" s="149">
        <f t="shared" si="228"/>
        <v>1.5527950310559006E-2</v>
      </c>
      <c r="C560" s="20">
        <f t="shared" si="229"/>
        <v>15</v>
      </c>
      <c r="D560" s="21">
        <f t="shared" si="230"/>
        <v>778</v>
      </c>
      <c r="E560" s="22">
        <f t="shared" si="231"/>
        <v>7147.7827655287874</v>
      </c>
      <c r="F560" s="21">
        <f t="shared" si="232"/>
        <v>5560974.9915813962</v>
      </c>
      <c r="G560" s="24">
        <f>'DDS Rates for Amend'!AD22</f>
        <v>6.6851957737568899</v>
      </c>
      <c r="H560" s="33">
        <f t="shared" si="233"/>
        <v>37176206.511687703</v>
      </c>
      <c r="I560" s="689"/>
      <c r="J560" s="205"/>
      <c r="K560" s="285">
        <f>SUM(H546:H560)</f>
        <v>295079185.97633129</v>
      </c>
      <c r="L560" s="17">
        <f>IF(K560='Appendix J-2'!CD33,0,error)</f>
        <v>0</v>
      </c>
      <c r="S560" s="407"/>
      <c r="T560" s="407"/>
      <c r="U560" s="407"/>
      <c r="V560" s="407"/>
    </row>
    <row r="561" spans="1:10" x14ac:dyDescent="0.25">
      <c r="C561"/>
      <c r="I561" s="568"/>
      <c r="J561"/>
    </row>
    <row r="562" spans="1:10" x14ac:dyDescent="0.25">
      <c r="A562" s="697" t="s">
        <v>16</v>
      </c>
      <c r="B562" s="697"/>
      <c r="C562" s="697"/>
      <c r="D562" s="698"/>
      <c r="E562" s="224"/>
      <c r="F562" s="699"/>
      <c r="G562" s="699"/>
      <c r="H562" s="699"/>
      <c r="I562" s="705" t="s">
        <v>277</v>
      </c>
      <c r="J562" s="205"/>
    </row>
    <row r="563" spans="1:10" x14ac:dyDescent="0.25">
      <c r="A563" s="151" t="s">
        <v>26</v>
      </c>
      <c r="B563" s="151" t="s">
        <v>27</v>
      </c>
      <c r="C563" s="150" t="s">
        <v>166</v>
      </c>
      <c r="D563" s="225" t="s">
        <v>154</v>
      </c>
      <c r="E563" s="226" t="s">
        <v>155</v>
      </c>
      <c r="F563" s="227" t="s">
        <v>158</v>
      </c>
      <c r="G563" s="228" t="s">
        <v>156</v>
      </c>
      <c r="H563" s="228" t="s">
        <v>157</v>
      </c>
      <c r="I563" s="706"/>
      <c r="J563" s="203"/>
    </row>
    <row r="564" spans="1:10" x14ac:dyDescent="0.25">
      <c r="A564" s="148">
        <f>A$5</f>
        <v>1182</v>
      </c>
      <c r="B564" s="148"/>
      <c r="C564" s="137">
        <v>1</v>
      </c>
      <c r="D564" s="148">
        <v>0</v>
      </c>
      <c r="E564" s="138">
        <f>IF(F564=0,0,F564/D564)</f>
        <v>0</v>
      </c>
      <c r="F564" s="215">
        <v>0</v>
      </c>
      <c r="G564" s="139">
        <v>0</v>
      </c>
      <c r="H564" s="216">
        <v>0</v>
      </c>
      <c r="I564" s="706"/>
      <c r="J564" s="200"/>
    </row>
    <row r="565" spans="1:10" x14ac:dyDescent="0.25">
      <c r="A565" s="148">
        <f>A$6</f>
        <v>1288</v>
      </c>
      <c r="B565" s="152">
        <f>(A565-A564)/A564</f>
        <v>8.9678510998307953E-2</v>
      </c>
      <c r="C565" s="140">
        <v>2</v>
      </c>
      <c r="D565" s="148">
        <v>0</v>
      </c>
      <c r="E565" s="138">
        <f>IF(F565=0,0,F565/D565)</f>
        <v>0</v>
      </c>
      <c r="F565" s="215">
        <v>0</v>
      </c>
      <c r="G565" s="139">
        <v>0</v>
      </c>
      <c r="H565" s="216">
        <v>0</v>
      </c>
      <c r="I565" s="706"/>
      <c r="J565" s="200"/>
    </row>
    <row r="566" spans="1:10" x14ac:dyDescent="0.25">
      <c r="A566" s="148">
        <f>A$7</f>
        <v>1495</v>
      </c>
      <c r="B566" s="152">
        <f t="shared" ref="B566:B573" si="234">(A566-A565)/A565</f>
        <v>0.16071428571428573</v>
      </c>
      <c r="C566" s="140">
        <v>3</v>
      </c>
      <c r="D566" s="148">
        <v>0</v>
      </c>
      <c r="E566" s="138">
        <f>IF(F566=0,0,F566/D566)</f>
        <v>0</v>
      </c>
      <c r="F566" s="215">
        <v>0</v>
      </c>
      <c r="G566" s="139">
        <v>0</v>
      </c>
      <c r="H566" s="216">
        <v>0</v>
      </c>
      <c r="I566" s="706"/>
      <c r="J566" s="201"/>
    </row>
    <row r="567" spans="1:10" x14ac:dyDescent="0.25">
      <c r="A567" s="148">
        <f>A$8</f>
        <v>1484</v>
      </c>
      <c r="B567" s="152">
        <f t="shared" si="234"/>
        <v>-7.3578595317725752E-3</v>
      </c>
      <c r="C567" s="140">
        <f t="shared" ref="C567:C573" si="235">C566+1</f>
        <v>4</v>
      </c>
      <c r="D567" s="148">
        <v>0</v>
      </c>
      <c r="E567" s="138">
        <f>IF(F567=0,0,F567/D567)</f>
        <v>0</v>
      </c>
      <c r="F567" s="215">
        <v>0</v>
      </c>
      <c r="G567" s="139">
        <v>0</v>
      </c>
      <c r="H567" s="216">
        <v>0</v>
      </c>
      <c r="I567" s="706"/>
      <c r="J567" s="201"/>
    </row>
    <row r="568" spans="1:10" x14ac:dyDescent="0.25">
      <c r="A568" s="148">
        <f>A$9</f>
        <v>1528</v>
      </c>
      <c r="B568" s="152">
        <f t="shared" si="234"/>
        <v>2.9649595687331536E-2</v>
      </c>
      <c r="C568" s="140">
        <f t="shared" si="235"/>
        <v>5</v>
      </c>
      <c r="D568" s="148">
        <v>0</v>
      </c>
      <c r="E568" s="138">
        <f>IF(F568=0,0,F568/D568)</f>
        <v>0</v>
      </c>
      <c r="F568" s="215">
        <v>0</v>
      </c>
      <c r="G568" s="139">
        <v>0</v>
      </c>
      <c r="H568" s="216">
        <v>0</v>
      </c>
      <c r="I568" s="706"/>
      <c r="J568" s="201"/>
    </row>
    <row r="569" spans="1:10" x14ac:dyDescent="0.25">
      <c r="A569" s="148">
        <f>A$10</f>
        <v>1592</v>
      </c>
      <c r="B569" s="152">
        <f t="shared" si="234"/>
        <v>4.1884816753926704E-2</v>
      </c>
      <c r="C569" s="140">
        <f t="shared" si="235"/>
        <v>6</v>
      </c>
      <c r="D569" s="148">
        <v>0</v>
      </c>
      <c r="E569" s="138">
        <f t="shared" ref="E569:E572" si="236">IF(F569=0,0,F569/D569)</f>
        <v>0</v>
      </c>
      <c r="F569" s="215">
        <v>0</v>
      </c>
      <c r="G569" s="139">
        <v>0</v>
      </c>
      <c r="H569" s="216">
        <v>0</v>
      </c>
      <c r="I569" s="706"/>
      <c r="J569" s="204"/>
    </row>
    <row r="570" spans="1:10" x14ac:dyDescent="0.25">
      <c r="A570" s="148">
        <f>A$11</f>
        <v>1642</v>
      </c>
      <c r="B570" s="152">
        <f t="shared" si="234"/>
        <v>3.1407035175879394E-2</v>
      </c>
      <c r="C570" s="140">
        <f t="shared" si="235"/>
        <v>7</v>
      </c>
      <c r="D570" s="148">
        <v>0</v>
      </c>
      <c r="E570" s="138">
        <f t="shared" si="236"/>
        <v>0</v>
      </c>
      <c r="F570" s="215">
        <v>0</v>
      </c>
      <c r="G570" s="139">
        <f>'DDS Rates for Amend'!AE14</f>
        <v>0</v>
      </c>
      <c r="H570" s="216">
        <v>0</v>
      </c>
      <c r="I570" s="706"/>
      <c r="J570" s="204"/>
    </row>
    <row r="571" spans="1:10" x14ac:dyDescent="0.25">
      <c r="A571" s="148">
        <f>A$12</f>
        <v>1675</v>
      </c>
      <c r="B571" s="152">
        <f t="shared" si="234"/>
        <v>2.0097442143727162E-2</v>
      </c>
      <c r="C571" s="140">
        <f t="shared" si="235"/>
        <v>8</v>
      </c>
      <c r="D571" s="148">
        <v>0</v>
      </c>
      <c r="E571" s="138">
        <f t="shared" si="236"/>
        <v>0</v>
      </c>
      <c r="F571" s="215">
        <v>0</v>
      </c>
      <c r="G571" s="139">
        <f>'DDS Rates for Amend'!AE15</f>
        <v>0</v>
      </c>
      <c r="H571" s="216">
        <v>0</v>
      </c>
      <c r="I571" s="706"/>
      <c r="J571" s="204"/>
    </row>
    <row r="572" spans="1:10" x14ac:dyDescent="0.25">
      <c r="A572" s="148">
        <f>A$13</f>
        <v>1739</v>
      </c>
      <c r="B572" s="152">
        <f t="shared" si="234"/>
        <v>3.8208955223880597E-2</v>
      </c>
      <c r="C572" s="140">
        <f t="shared" si="235"/>
        <v>9</v>
      </c>
      <c r="D572" s="148">
        <v>0</v>
      </c>
      <c r="E572" s="138">
        <f t="shared" si="236"/>
        <v>0</v>
      </c>
      <c r="F572" s="215">
        <v>0</v>
      </c>
      <c r="G572" s="139">
        <f>'DDS Rates for Amend'!AE16</f>
        <v>0</v>
      </c>
      <c r="H572" s="216">
        <v>0</v>
      </c>
      <c r="I572" s="706"/>
      <c r="J572" s="204"/>
    </row>
    <row r="573" spans="1:10" x14ac:dyDescent="0.25">
      <c r="A573" s="148">
        <f>A$14</f>
        <v>1752</v>
      </c>
      <c r="B573" s="152">
        <f t="shared" si="234"/>
        <v>7.4755606670500289E-3</v>
      </c>
      <c r="C573" s="140">
        <f t="shared" si="235"/>
        <v>10</v>
      </c>
      <c r="D573" s="148">
        <v>0</v>
      </c>
      <c r="E573" s="138">
        <v>0</v>
      </c>
      <c r="F573" s="215">
        <v>0</v>
      </c>
      <c r="G573" s="139">
        <f>'DDS Rates for Amend'!AE17</f>
        <v>0</v>
      </c>
      <c r="H573" s="216">
        <v>0</v>
      </c>
      <c r="I573" s="707"/>
      <c r="J573" s="204"/>
    </row>
    <row r="574" spans="1:10" x14ac:dyDescent="0.25">
      <c r="C574"/>
      <c r="I574" s="568"/>
      <c r="J574"/>
    </row>
    <row r="575" spans="1:10" x14ac:dyDescent="0.25">
      <c r="A575" s="271" t="s">
        <v>96</v>
      </c>
      <c r="B575" s="272"/>
      <c r="C575" s="272"/>
      <c r="D575" s="292" t="str">
        <f>'Appendix J-2'!B34</f>
        <v>Visit</v>
      </c>
      <c r="E575" s="223" t="str">
        <f>'Appendix J-2'!C34</f>
        <v>1 day</v>
      </c>
      <c r="F575" s="690"/>
      <c r="G575" s="690"/>
      <c r="H575" s="690"/>
      <c r="I575" s="687" t="s">
        <v>1070</v>
      </c>
      <c r="J575" s="205"/>
    </row>
    <row r="576" spans="1:10" x14ac:dyDescent="0.25">
      <c r="A576" s="147" t="s">
        <v>26</v>
      </c>
      <c r="B576" s="147" t="s">
        <v>27</v>
      </c>
      <c r="C576" s="50" t="s">
        <v>166</v>
      </c>
      <c r="D576" s="91" t="s">
        <v>154</v>
      </c>
      <c r="E576" s="89" t="s">
        <v>155</v>
      </c>
      <c r="F576" s="34" t="s">
        <v>158</v>
      </c>
      <c r="G576" s="35" t="s">
        <v>156</v>
      </c>
      <c r="H576" s="51" t="s">
        <v>157</v>
      </c>
      <c r="I576" s="688"/>
      <c r="J576" s="205"/>
    </row>
    <row r="577" spans="1:19" x14ac:dyDescent="0.25">
      <c r="A577" s="21">
        <f>A$5</f>
        <v>1182</v>
      </c>
      <c r="B577" s="148"/>
      <c r="C577" s="144">
        <v>1</v>
      </c>
      <c r="D577" s="247">
        <f>'Appendix J-2'!D34</f>
        <v>16</v>
      </c>
      <c r="E577" s="22">
        <f>IF(F577=0,0,F577/D577)</f>
        <v>102.1875</v>
      </c>
      <c r="F577" s="247">
        <f>'Appendix J-2'!F34</f>
        <v>1635</v>
      </c>
      <c r="G577" s="24">
        <f>H577/F577</f>
        <v>135.41284403669724</v>
      </c>
      <c r="H577" s="250">
        <f>'Appendix J-2'!H34</f>
        <v>221400</v>
      </c>
      <c r="I577" s="688"/>
      <c r="J577" s="205"/>
    </row>
    <row r="578" spans="1:19" x14ac:dyDescent="0.25">
      <c r="A578" s="21">
        <f>A$6</f>
        <v>1288</v>
      </c>
      <c r="B578" s="149">
        <f>(A578-A577)/A577</f>
        <v>8.9678510998307953E-2</v>
      </c>
      <c r="C578" s="52">
        <v>2</v>
      </c>
      <c r="D578" s="247">
        <f>'Appendix J-2'!I34</f>
        <v>23</v>
      </c>
      <c r="E578" s="22">
        <f t="shared" ref="E578:E584" si="237">IF(F578=0,0,F578/D578)</f>
        <v>245</v>
      </c>
      <c r="F578" s="247">
        <f>'Appendix J-2'!K34</f>
        <v>5635</v>
      </c>
      <c r="G578" s="24">
        <f t="shared" ref="G578:G585" si="238">H578/F578</f>
        <v>136</v>
      </c>
      <c r="H578" s="250">
        <f>'Appendix J-2'!M34</f>
        <v>766360</v>
      </c>
      <c r="I578" s="688"/>
      <c r="J578" s="205"/>
    </row>
    <row r="579" spans="1:19" x14ac:dyDescent="0.25">
      <c r="A579" s="21">
        <f>A$7</f>
        <v>1495</v>
      </c>
      <c r="B579" s="149">
        <f t="shared" ref="B579:B591" si="239">(A579-A578)/A578</f>
        <v>0.16071428571428573</v>
      </c>
      <c r="C579" s="52">
        <v>3</v>
      </c>
      <c r="D579" s="247">
        <f>'Appendix J-2'!N34</f>
        <v>21</v>
      </c>
      <c r="E579" s="22">
        <f t="shared" si="237"/>
        <v>302</v>
      </c>
      <c r="F579" s="247">
        <f>'Appendix J-2'!P34</f>
        <v>6342</v>
      </c>
      <c r="G579" s="24">
        <f t="shared" si="238"/>
        <v>136</v>
      </c>
      <c r="H579" s="248">
        <f>'Appendix J-2'!R34</f>
        <v>862512</v>
      </c>
      <c r="I579" s="688"/>
      <c r="J579" s="205"/>
    </row>
    <row r="580" spans="1:19" x14ac:dyDescent="0.25">
      <c r="A580" s="21">
        <f>A$8</f>
        <v>1484</v>
      </c>
      <c r="B580" s="149">
        <f t="shared" si="239"/>
        <v>-7.3578595317725752E-3</v>
      </c>
      <c r="C580" s="52">
        <f t="shared" ref="C580:C591" si="240">C579+1</f>
        <v>4</v>
      </c>
      <c r="D580" s="247">
        <f>'Appendix J-2'!S34</f>
        <v>26</v>
      </c>
      <c r="E580" s="22">
        <f t="shared" si="237"/>
        <v>216.84615384615384</v>
      </c>
      <c r="F580" s="247">
        <f>'Appendix J-2'!U34</f>
        <v>5638</v>
      </c>
      <c r="G580" s="24">
        <f t="shared" si="238"/>
        <v>135.96140475345868</v>
      </c>
      <c r="H580" s="248">
        <f>'Appendix J-2'!W34</f>
        <v>766550.4</v>
      </c>
      <c r="I580" s="688"/>
      <c r="J580" s="205"/>
    </row>
    <row r="581" spans="1:19" x14ac:dyDescent="0.25">
      <c r="A581" s="21">
        <f>A$9</f>
        <v>1528</v>
      </c>
      <c r="B581" s="149">
        <f t="shared" si="239"/>
        <v>2.9649595687331536E-2</v>
      </c>
      <c r="C581" s="52">
        <f t="shared" si="240"/>
        <v>5</v>
      </c>
      <c r="D581" s="247">
        <f>'Appendix J-2'!X34</f>
        <v>19</v>
      </c>
      <c r="E581" s="22">
        <f t="shared" si="237"/>
        <v>229.52631578947367</v>
      </c>
      <c r="F581" s="247">
        <f>'Appendix J-2'!Z34</f>
        <v>4361</v>
      </c>
      <c r="G581" s="24">
        <f t="shared" si="238"/>
        <v>135.93825269433614</v>
      </c>
      <c r="H581" s="248">
        <f>'Appendix J-2'!AB34</f>
        <v>592826.72</v>
      </c>
      <c r="I581" s="688"/>
      <c r="J581" s="205"/>
    </row>
    <row r="582" spans="1:19" x14ac:dyDescent="0.25">
      <c r="A582" s="21">
        <f>A$10</f>
        <v>1592</v>
      </c>
      <c r="B582" s="149">
        <f t="shared" si="239"/>
        <v>4.1884816753926704E-2</v>
      </c>
      <c r="C582" s="20">
        <f t="shared" si="240"/>
        <v>6</v>
      </c>
      <c r="D582" s="249">
        <f>'Appendix J-2'!AC34</f>
        <v>31</v>
      </c>
      <c r="E582" s="22">
        <f t="shared" si="237"/>
        <v>149.70967741935485</v>
      </c>
      <c r="F582" s="249">
        <f>'Appendix J-2'!AE34</f>
        <v>4641</v>
      </c>
      <c r="G582" s="24">
        <f t="shared" si="238"/>
        <v>136</v>
      </c>
      <c r="H582" s="248">
        <f>'Appendix J-2'!AG34</f>
        <v>631176</v>
      </c>
      <c r="I582" s="688"/>
      <c r="J582" s="205"/>
      <c r="N582" s="87" t="s">
        <v>509</v>
      </c>
    </row>
    <row r="583" spans="1:19" x14ac:dyDescent="0.25">
      <c r="A583" s="21">
        <f>A$11</f>
        <v>1642</v>
      </c>
      <c r="B583" s="149">
        <f t="shared" si="239"/>
        <v>3.1407035175879394E-2</v>
      </c>
      <c r="C583" s="20">
        <f t="shared" si="240"/>
        <v>7</v>
      </c>
      <c r="D583" s="249">
        <f>'Appendix J-2'!AH34</f>
        <v>43</v>
      </c>
      <c r="E583" s="22">
        <f t="shared" si="237"/>
        <v>150.55813953488371</v>
      </c>
      <c r="F583" s="249">
        <f>'Appendix J-2'!AJ34</f>
        <v>6474</v>
      </c>
      <c r="G583" s="24">
        <f t="shared" si="238"/>
        <v>137.04263206672846</v>
      </c>
      <c r="H583" s="248">
        <f>'Appendix J-2'!AL34</f>
        <v>887214</v>
      </c>
      <c r="I583" s="688"/>
      <c r="J583" s="205"/>
      <c r="N583" s="31" t="s">
        <v>506</v>
      </c>
      <c r="O583" s="31">
        <v>2014</v>
      </c>
      <c r="P583" s="31">
        <v>25</v>
      </c>
      <c r="Q583" s="90"/>
    </row>
    <row r="584" spans="1:19" x14ac:dyDescent="0.25">
      <c r="A584" s="21">
        <f>A$12</f>
        <v>1675</v>
      </c>
      <c r="B584" s="149">
        <f t="shared" si="239"/>
        <v>2.0097442143727162E-2</v>
      </c>
      <c r="C584" s="20">
        <f t="shared" si="240"/>
        <v>8</v>
      </c>
      <c r="D584" s="249">
        <f>'Appendix J-2'!AM34</f>
        <v>39</v>
      </c>
      <c r="E584" s="22">
        <f t="shared" si="237"/>
        <v>259.02564102564105</v>
      </c>
      <c r="F584" s="249">
        <f>'Appendix J-2'!AO34</f>
        <v>10102</v>
      </c>
      <c r="G584" s="24">
        <f t="shared" si="238"/>
        <v>142.48847653929917</v>
      </c>
      <c r="H584" s="248">
        <f>'Appendix J-2'!AQ34</f>
        <v>1439418.59</v>
      </c>
      <c r="I584" s="688"/>
      <c r="J584" s="205"/>
      <c r="N584" s="31" t="s">
        <v>507</v>
      </c>
      <c r="O584" s="31">
        <v>2015</v>
      </c>
      <c r="P584" s="31">
        <v>33</v>
      </c>
      <c r="Q584" s="90"/>
    </row>
    <row r="585" spans="1:19" x14ac:dyDescent="0.25">
      <c r="A585" s="21">
        <f>A$13</f>
        <v>1739</v>
      </c>
      <c r="B585" s="149">
        <f t="shared" si="239"/>
        <v>3.8208955223880597E-2</v>
      </c>
      <c r="C585" s="20">
        <f t="shared" si="240"/>
        <v>9</v>
      </c>
      <c r="D585" s="249">
        <f>'Appendix J-2'!AR34</f>
        <v>37</v>
      </c>
      <c r="E585" s="22">
        <f>IF(F585=0,0,F585/D585)</f>
        <v>283.10810810810813</v>
      </c>
      <c r="F585" s="249">
        <f>'Appendix J-2'!AT34</f>
        <v>10475</v>
      </c>
      <c r="G585" s="24">
        <f t="shared" si="238"/>
        <v>149.81803341288781</v>
      </c>
      <c r="H585" s="248">
        <f>'Appendix J-2'!AV34</f>
        <v>1569343.9</v>
      </c>
      <c r="I585" s="688"/>
      <c r="J585" s="205"/>
      <c r="N585" s="31" t="s">
        <v>508</v>
      </c>
      <c r="O585" s="31">
        <v>2016</v>
      </c>
      <c r="P585" s="31">
        <v>33</v>
      </c>
      <c r="Q585" s="90"/>
      <c r="R585" s="326"/>
      <c r="S585" s="87"/>
    </row>
    <row r="586" spans="1:19" x14ac:dyDescent="0.25">
      <c r="A586" s="21">
        <f>A$14</f>
        <v>1752</v>
      </c>
      <c r="B586" s="149">
        <f t="shared" si="239"/>
        <v>7.4755606670500289E-3</v>
      </c>
      <c r="C586" s="20">
        <f t="shared" si="240"/>
        <v>10</v>
      </c>
      <c r="D586" s="21">
        <f>ROUND(TREND($D$584:$D$585,$A$584:$A$585,A586),0)</f>
        <v>37</v>
      </c>
      <c r="E586" s="22">
        <f>IF(TREND($E$577:$E$585,$C$577:$C$585,C586)&lt;365,TREND($E$577:$E$585,$C$577:$C$585,C586),365)</f>
        <v>248.30732270420651</v>
      </c>
      <c r="F586" s="21">
        <f>D586*E586</f>
        <v>9187.3709400556418</v>
      </c>
      <c r="G586" s="24">
        <f>'DDS Rates for Amend'!AF17</f>
        <v>153.56</v>
      </c>
      <c r="H586" s="33">
        <f>F586*G586</f>
        <v>1410812.6815549443</v>
      </c>
      <c r="I586" s="688"/>
      <c r="J586" s="205"/>
      <c r="P586" s="336"/>
    </row>
    <row r="587" spans="1:19" x14ac:dyDescent="0.25">
      <c r="A587" s="21">
        <f>A$15</f>
        <v>1822</v>
      </c>
      <c r="B587" s="149">
        <f t="shared" si="239"/>
        <v>3.9954337899543377E-2</v>
      </c>
      <c r="C587" s="20">
        <f t="shared" si="240"/>
        <v>11</v>
      </c>
      <c r="D587" s="21">
        <f t="shared" ref="D587:D591" si="241">ROUND(TREND($D$584:$D$585,$A$584:$A$585,A587),0)</f>
        <v>34</v>
      </c>
      <c r="E587" s="22">
        <f t="shared" ref="E587:E591" si="242">IF(TREND($E$577:$E$585,$C$577:$C$585,C587)&lt;365,TREND($E$577:$E$585,$C$577:$C$585,C587),365)</f>
        <v>254.90297534007857</v>
      </c>
      <c r="F587" s="21">
        <f t="shared" ref="F587:F591" si="243">D587*E587</f>
        <v>8666.7011615626707</v>
      </c>
      <c r="G587" s="24">
        <f>'DDS Rates for Amend'!AF18</f>
        <v>157.55256</v>
      </c>
      <c r="H587" s="33">
        <f t="shared" ref="H587:H591" si="244">F587*G587</f>
        <v>1365460.9547591724</v>
      </c>
      <c r="I587" s="688"/>
      <c r="J587" s="205"/>
    </row>
    <row r="588" spans="1:19" x14ac:dyDescent="0.25">
      <c r="A588" s="21">
        <f>A$16</f>
        <v>1872</v>
      </c>
      <c r="B588" s="149">
        <f t="shared" si="239"/>
        <v>2.7442371020856202E-2</v>
      </c>
      <c r="C588" s="20">
        <f t="shared" si="240"/>
        <v>12</v>
      </c>
      <c r="D588" s="21">
        <f t="shared" si="241"/>
        <v>33</v>
      </c>
      <c r="E588" s="22">
        <f t="shared" si="242"/>
        <v>261.49862797595063</v>
      </c>
      <c r="F588" s="21">
        <f t="shared" si="243"/>
        <v>8629.4547232063705</v>
      </c>
      <c r="G588" s="24">
        <f>'DDS Rates for Amend'!AF19</f>
        <v>161.64892656000001</v>
      </c>
      <c r="H588" s="33">
        <f t="shared" si="244"/>
        <v>1394942.0928044317</v>
      </c>
      <c r="I588" s="688"/>
      <c r="J588" s="205"/>
    </row>
    <row r="589" spans="1:19" x14ac:dyDescent="0.25">
      <c r="A589" s="21">
        <f>A$17</f>
        <v>1902</v>
      </c>
      <c r="B589" s="149">
        <f t="shared" si="239"/>
        <v>1.6025641025641024E-2</v>
      </c>
      <c r="C589" s="20">
        <f t="shared" si="240"/>
        <v>13</v>
      </c>
      <c r="D589" s="21">
        <f t="shared" si="241"/>
        <v>32</v>
      </c>
      <c r="E589" s="22">
        <f t="shared" si="242"/>
        <v>268.09428061182268</v>
      </c>
      <c r="F589" s="21">
        <f t="shared" si="243"/>
        <v>8579.0169795783258</v>
      </c>
      <c r="G589" s="24">
        <f>'DDS Rates for Amend'!AF20</f>
        <v>165.85179865056</v>
      </c>
      <c r="H589" s="33">
        <f t="shared" si="244"/>
        <v>1422845.39671676</v>
      </c>
      <c r="I589" s="688"/>
      <c r="J589" s="205"/>
    </row>
    <row r="590" spans="1:19" x14ac:dyDescent="0.25">
      <c r="A590" s="21">
        <f>A$18</f>
        <v>1932</v>
      </c>
      <c r="B590" s="149">
        <f t="shared" si="239"/>
        <v>1.5772870662460567E-2</v>
      </c>
      <c r="C590" s="20">
        <f t="shared" si="240"/>
        <v>14</v>
      </c>
      <c r="D590" s="21">
        <f t="shared" si="241"/>
        <v>31</v>
      </c>
      <c r="E590" s="22">
        <f t="shared" si="242"/>
        <v>274.68993324769474</v>
      </c>
      <c r="F590" s="21">
        <f t="shared" si="243"/>
        <v>8515.3879306785366</v>
      </c>
      <c r="G590" s="24">
        <f>'DDS Rates for Amend'!AF21</f>
        <v>170.16394541547456</v>
      </c>
      <c r="H590" s="33">
        <f t="shared" si="244"/>
        <v>1449012.0070275734</v>
      </c>
      <c r="I590" s="688"/>
      <c r="J590" s="205"/>
    </row>
    <row r="591" spans="1:19" x14ac:dyDescent="0.25">
      <c r="A591" s="21">
        <f>A$19</f>
        <v>1962</v>
      </c>
      <c r="B591" s="149">
        <f t="shared" si="239"/>
        <v>1.5527950310559006E-2</v>
      </c>
      <c r="C591" s="20">
        <f t="shared" si="240"/>
        <v>15</v>
      </c>
      <c r="D591" s="21">
        <f t="shared" si="241"/>
        <v>30</v>
      </c>
      <c r="E591" s="22">
        <f t="shared" si="242"/>
        <v>281.28558588356685</v>
      </c>
      <c r="F591" s="21">
        <f t="shared" si="243"/>
        <v>8438.5675765070064</v>
      </c>
      <c r="G591" s="24">
        <f>'DDS Rates for Amend'!AF22</f>
        <v>174.58820799627691</v>
      </c>
      <c r="H591" s="33">
        <f t="shared" si="244"/>
        <v>1473274.3912378435</v>
      </c>
      <c r="I591" s="689"/>
      <c r="J591" s="205"/>
      <c r="K591" s="285">
        <f>SUM(H577:H591)</f>
        <v>16253149.134100726</v>
      </c>
      <c r="L591" s="17">
        <f>IF(K591='Appendix J-2'!CD34,0,error)</f>
        <v>0</v>
      </c>
    </row>
    <row r="592" spans="1:19" x14ac:dyDescent="0.25">
      <c r="C592"/>
      <c r="I592" s="568"/>
      <c r="J592"/>
    </row>
    <row r="593" spans="1:19" x14ac:dyDescent="0.25">
      <c r="A593" s="271" t="s">
        <v>97</v>
      </c>
      <c r="B593" s="272"/>
      <c r="C593" s="272"/>
      <c r="D593" s="292" t="str">
        <f>'Appendix J-2'!B35</f>
        <v>Visit</v>
      </c>
      <c r="E593" s="223" t="str">
        <f>'Appendix J-2'!C35</f>
        <v>1 day</v>
      </c>
      <c r="F593" s="690"/>
      <c r="G593" s="690"/>
      <c r="H593" s="690"/>
      <c r="I593" s="687" t="s">
        <v>1068</v>
      </c>
      <c r="J593" s="205"/>
    </row>
    <row r="594" spans="1:19" x14ac:dyDescent="0.25">
      <c r="A594" s="147" t="s">
        <v>26</v>
      </c>
      <c r="B594" s="147" t="s">
        <v>27</v>
      </c>
      <c r="C594" s="50" t="s">
        <v>166</v>
      </c>
      <c r="D594" s="91" t="s">
        <v>154</v>
      </c>
      <c r="E594" s="89" t="s">
        <v>155</v>
      </c>
      <c r="F594" s="34" t="s">
        <v>158</v>
      </c>
      <c r="G594" s="35" t="s">
        <v>156</v>
      </c>
      <c r="H594" s="51" t="s">
        <v>157</v>
      </c>
      <c r="I594" s="688"/>
      <c r="J594" s="205"/>
    </row>
    <row r="595" spans="1:19" ht="15" customHeight="1" x14ac:dyDescent="0.25">
      <c r="A595" s="21">
        <f>A$5</f>
        <v>1182</v>
      </c>
      <c r="B595" s="148"/>
      <c r="C595" s="144">
        <v>1</v>
      </c>
      <c r="D595" s="247">
        <f>'Appendix J-2'!D35</f>
        <v>7</v>
      </c>
      <c r="E595" s="22">
        <f>IF(F595=0,0,F595/D595)</f>
        <v>99.714285714285708</v>
      </c>
      <c r="F595" s="247">
        <f>'Appendix J-2'!F35</f>
        <v>698</v>
      </c>
      <c r="G595" s="24">
        <f>H595/F595</f>
        <v>150.47277936962752</v>
      </c>
      <c r="H595" s="250">
        <f>'Appendix J-2'!H35</f>
        <v>105030</v>
      </c>
      <c r="I595" s="688"/>
      <c r="J595" s="205"/>
    </row>
    <row r="596" spans="1:19" x14ac:dyDescent="0.25">
      <c r="A596" s="21">
        <f>A$6</f>
        <v>1288</v>
      </c>
      <c r="B596" s="149">
        <f>(A596-A595)/A595</f>
        <v>8.9678510998307953E-2</v>
      </c>
      <c r="C596" s="52">
        <v>2</v>
      </c>
      <c r="D596" s="247">
        <f>'Appendix J-2'!I35</f>
        <v>25</v>
      </c>
      <c r="E596" s="22">
        <f t="shared" ref="E596:E603" si="245">IF(F596=0,0,F596/D596)</f>
        <v>152.52000000000001</v>
      </c>
      <c r="F596" s="247">
        <f>'Appendix J-2'!K35</f>
        <v>3813</v>
      </c>
      <c r="G596" s="24">
        <f t="shared" ref="G596:G603" si="246">H596/F596</f>
        <v>152.89299763965383</v>
      </c>
      <c r="H596" s="250">
        <f>'Appendix J-2'!M35</f>
        <v>582981</v>
      </c>
      <c r="I596" s="688"/>
      <c r="J596" s="205"/>
    </row>
    <row r="597" spans="1:19" x14ac:dyDescent="0.25">
      <c r="A597" s="21">
        <f>A$7</f>
        <v>1495</v>
      </c>
      <c r="B597" s="149">
        <f t="shared" ref="B597:B609" si="247">(A597-A596)/A596</f>
        <v>0.16071428571428573</v>
      </c>
      <c r="C597" s="52">
        <v>3</v>
      </c>
      <c r="D597" s="247">
        <f>'Appendix J-2'!N35</f>
        <v>39</v>
      </c>
      <c r="E597" s="22">
        <f t="shared" si="245"/>
        <v>239.25641025641025</v>
      </c>
      <c r="F597" s="247">
        <f>'Appendix J-2'!P35</f>
        <v>9331</v>
      </c>
      <c r="G597" s="24">
        <f t="shared" si="246"/>
        <v>152.95080913085414</v>
      </c>
      <c r="H597" s="248">
        <f>'Appendix J-2'!R35</f>
        <v>1427184</v>
      </c>
      <c r="I597" s="688"/>
      <c r="J597" s="205"/>
    </row>
    <row r="598" spans="1:19" x14ac:dyDescent="0.25">
      <c r="A598" s="21">
        <f>A$8</f>
        <v>1484</v>
      </c>
      <c r="B598" s="149">
        <f t="shared" si="247"/>
        <v>-7.3578595317725752E-3</v>
      </c>
      <c r="C598" s="52">
        <f t="shared" ref="C598:C609" si="248">C597+1</f>
        <v>4</v>
      </c>
      <c r="D598" s="247">
        <f>'Appendix J-2'!S35</f>
        <v>58</v>
      </c>
      <c r="E598" s="22">
        <f t="shared" si="245"/>
        <v>198.91379310344828</v>
      </c>
      <c r="F598" s="247">
        <f>'Appendix J-2'!U35</f>
        <v>11537</v>
      </c>
      <c r="G598" s="24">
        <f t="shared" si="246"/>
        <v>152.28755309005808</v>
      </c>
      <c r="H598" s="248">
        <f>'Appendix J-2'!W35</f>
        <v>1756941.5</v>
      </c>
      <c r="I598" s="688"/>
      <c r="J598" s="205"/>
    </row>
    <row r="599" spans="1:19" x14ac:dyDescent="0.25">
      <c r="A599" s="21">
        <f>A$9</f>
        <v>1528</v>
      </c>
      <c r="B599" s="149">
        <f t="shared" si="247"/>
        <v>2.9649595687331536E-2</v>
      </c>
      <c r="C599" s="52">
        <f t="shared" si="248"/>
        <v>5</v>
      </c>
      <c r="D599" s="247">
        <f>'Appendix J-2'!X35</f>
        <v>59</v>
      </c>
      <c r="E599" s="22">
        <f t="shared" si="245"/>
        <v>270.89830508474574</v>
      </c>
      <c r="F599" s="247">
        <f>'Appendix J-2'!Z35</f>
        <v>15983</v>
      </c>
      <c r="G599" s="24">
        <f t="shared" si="246"/>
        <v>152.88087342801728</v>
      </c>
      <c r="H599" s="248">
        <f>'Appendix J-2'!AB35</f>
        <v>2443495</v>
      </c>
      <c r="I599" s="688"/>
      <c r="J599" s="205"/>
    </row>
    <row r="600" spans="1:19" x14ac:dyDescent="0.25">
      <c r="A600" s="21">
        <f>A$10</f>
        <v>1592</v>
      </c>
      <c r="B600" s="149">
        <f t="shared" si="247"/>
        <v>4.1884816753926704E-2</v>
      </c>
      <c r="C600" s="20">
        <f t="shared" si="248"/>
        <v>6</v>
      </c>
      <c r="D600" s="249">
        <f>'Appendix J-2'!AC35</f>
        <v>113</v>
      </c>
      <c r="E600" s="22">
        <f t="shared" si="245"/>
        <v>152.31858407079645</v>
      </c>
      <c r="F600" s="249">
        <f>'Appendix J-2'!AE35</f>
        <v>17212</v>
      </c>
      <c r="G600" s="24">
        <f t="shared" si="246"/>
        <v>153</v>
      </c>
      <c r="H600" s="248">
        <f>'Appendix J-2'!AG35</f>
        <v>2633436</v>
      </c>
      <c r="I600" s="688"/>
      <c r="J600" s="205"/>
      <c r="N600" s="87" t="s">
        <v>509</v>
      </c>
    </row>
    <row r="601" spans="1:19" x14ac:dyDescent="0.25">
      <c r="A601" s="21">
        <f>A$11</f>
        <v>1642</v>
      </c>
      <c r="B601" s="149">
        <f t="shared" si="247"/>
        <v>3.1407035175879394E-2</v>
      </c>
      <c r="C601" s="20">
        <f t="shared" si="248"/>
        <v>7</v>
      </c>
      <c r="D601" s="249">
        <f>'Appendix J-2'!AH35</f>
        <v>101</v>
      </c>
      <c r="E601" s="22">
        <f t="shared" si="245"/>
        <v>140.96039603960395</v>
      </c>
      <c r="F601" s="249">
        <f>'Appendix J-2'!AJ35</f>
        <v>14237</v>
      </c>
      <c r="G601" s="24">
        <f t="shared" si="246"/>
        <v>152.73287911779167</v>
      </c>
      <c r="H601" s="248">
        <f>'Appendix J-2'!AL35</f>
        <v>2174458</v>
      </c>
      <c r="I601" s="688"/>
      <c r="J601" s="205"/>
      <c r="N601" s="31" t="s">
        <v>506</v>
      </c>
      <c r="O601" s="31">
        <v>2014</v>
      </c>
      <c r="P601" s="31">
        <v>50</v>
      </c>
      <c r="Q601" s="90"/>
    </row>
    <row r="602" spans="1:19" x14ac:dyDescent="0.25">
      <c r="A602" s="21">
        <f>A$12</f>
        <v>1675</v>
      </c>
      <c r="B602" s="149">
        <f t="shared" si="247"/>
        <v>2.0097442143727162E-2</v>
      </c>
      <c r="C602" s="20">
        <f t="shared" si="248"/>
        <v>8</v>
      </c>
      <c r="D602" s="249">
        <f>'Appendix J-2'!AM35</f>
        <v>31</v>
      </c>
      <c r="E602" s="22">
        <f t="shared" si="245"/>
        <v>277.96774193548384</v>
      </c>
      <c r="F602" s="249">
        <f>'Appendix J-2'!AO35</f>
        <v>8617</v>
      </c>
      <c r="G602" s="24">
        <f t="shared" si="246"/>
        <v>161.31983288847627</v>
      </c>
      <c r="H602" s="248">
        <f>'Appendix J-2'!AQ35</f>
        <v>1390093</v>
      </c>
      <c r="I602" s="688"/>
      <c r="J602" s="205"/>
      <c r="N602" s="31" t="s">
        <v>507</v>
      </c>
      <c r="O602" s="31">
        <v>2015</v>
      </c>
      <c r="P602" s="31">
        <v>28</v>
      </c>
      <c r="Q602" s="90"/>
    </row>
    <row r="603" spans="1:19" x14ac:dyDescent="0.25">
      <c r="A603" s="21">
        <f>A$13</f>
        <v>1739</v>
      </c>
      <c r="B603" s="149">
        <f t="shared" si="247"/>
        <v>3.8208955223880597E-2</v>
      </c>
      <c r="C603" s="20">
        <f t="shared" si="248"/>
        <v>9</v>
      </c>
      <c r="D603" s="249">
        <f>'Appendix J-2'!AR35</f>
        <v>25</v>
      </c>
      <c r="E603" s="22">
        <f t="shared" si="245"/>
        <v>283.76</v>
      </c>
      <c r="F603" s="249">
        <f>'Appendix J-2'!AT35</f>
        <v>7094</v>
      </c>
      <c r="G603" s="24">
        <f t="shared" si="246"/>
        <v>168.30737101776148</v>
      </c>
      <c r="H603" s="248">
        <f>'Appendix J-2'!AV35</f>
        <v>1193972.49</v>
      </c>
      <c r="I603" s="688"/>
      <c r="J603" s="205"/>
      <c r="N603" s="31" t="s">
        <v>508</v>
      </c>
      <c r="O603" s="31">
        <v>2016</v>
      </c>
      <c r="P603" s="31">
        <v>25</v>
      </c>
      <c r="Q603" s="90"/>
      <c r="R603" s="326"/>
      <c r="S603" s="87"/>
    </row>
    <row r="604" spans="1:19" x14ac:dyDescent="0.25">
      <c r="A604" s="21">
        <f>A$14</f>
        <v>1752</v>
      </c>
      <c r="B604" s="149">
        <f t="shared" si="247"/>
        <v>7.4755606670500289E-3</v>
      </c>
      <c r="C604" s="20">
        <f t="shared" si="248"/>
        <v>10</v>
      </c>
      <c r="D604" s="21">
        <f>ROUND(TREND($D$602:$D$603,$A$602:$A$603,A604),0)</f>
        <v>24</v>
      </c>
      <c r="E604" s="22">
        <f>IF(TREND($E$595:$E$603,$C$595:$C$603,C604)&lt;365,TREND($E$595:$E$603,$C$595:$C$603,C604),365)</f>
        <v>274.25707225745077</v>
      </c>
      <c r="F604" s="21">
        <f>D604*E604</f>
        <v>6582.1697341788185</v>
      </c>
      <c r="G604" s="24">
        <f>'DDS Rates for Amend'!AG17</f>
        <v>171.74</v>
      </c>
      <c r="H604" s="33">
        <f>F604*G604</f>
        <v>1130421.8301478704</v>
      </c>
      <c r="I604" s="688"/>
      <c r="J604" s="205"/>
      <c r="P604" s="336"/>
    </row>
    <row r="605" spans="1:19" x14ac:dyDescent="0.25">
      <c r="A605" s="21">
        <f>A$15</f>
        <v>1822</v>
      </c>
      <c r="B605" s="149">
        <f t="shared" si="247"/>
        <v>3.9954337899543377E-2</v>
      </c>
      <c r="C605" s="20">
        <f t="shared" si="248"/>
        <v>11</v>
      </c>
      <c r="D605" s="21">
        <f t="shared" ref="D605:D609" si="249">ROUND(TREND($D$602:$D$603,$A$602:$A$603,A605),0)</f>
        <v>17</v>
      </c>
      <c r="E605" s="22">
        <f t="shared" ref="E605:E609" si="250">IF(TREND($E$595:$E$603,$C$595:$C$603,C605)&lt;365,TREND($E$595:$E$603,$C$595:$C$603,C605),365)</f>
        <v>288.7460530155015</v>
      </c>
      <c r="F605" s="21">
        <f t="shared" ref="F605:F609" si="251">D605*E605</f>
        <v>4908.6829012635253</v>
      </c>
      <c r="G605" s="24">
        <f>'DDS Rates for Amend'!AG18</f>
        <v>176.20524</v>
      </c>
      <c r="H605" s="33">
        <f t="shared" ref="H605:H609" si="252">F605*G605</f>
        <v>864935.64870103577</v>
      </c>
      <c r="I605" s="688"/>
      <c r="J605" s="205"/>
    </row>
    <row r="606" spans="1:19" x14ac:dyDescent="0.25">
      <c r="A606" s="21">
        <f>A$16</f>
        <v>1872</v>
      </c>
      <c r="B606" s="149">
        <f t="shared" si="247"/>
        <v>2.7442371020856202E-2</v>
      </c>
      <c r="C606" s="20">
        <f t="shared" si="248"/>
        <v>12</v>
      </c>
      <c r="D606" s="21">
        <f t="shared" si="249"/>
        <v>13</v>
      </c>
      <c r="E606" s="22">
        <f t="shared" si="250"/>
        <v>303.23503377355223</v>
      </c>
      <c r="F606" s="21">
        <f t="shared" si="251"/>
        <v>3942.0554390561792</v>
      </c>
      <c r="G606" s="24">
        <f>'DDS Rates for Amend'!AG19</f>
        <v>180.78657624000002</v>
      </c>
      <c r="H606" s="33">
        <f t="shared" si="252"/>
        <v>712670.70617523673</v>
      </c>
      <c r="I606" s="688"/>
      <c r="J606" s="205"/>
    </row>
    <row r="607" spans="1:19" x14ac:dyDescent="0.25">
      <c r="A607" s="21">
        <f>A$17</f>
        <v>1902</v>
      </c>
      <c r="B607" s="149">
        <f t="shared" si="247"/>
        <v>1.6025641025641024E-2</v>
      </c>
      <c r="C607" s="20">
        <f t="shared" si="248"/>
        <v>13</v>
      </c>
      <c r="D607" s="21">
        <f t="shared" si="249"/>
        <v>10</v>
      </c>
      <c r="E607" s="22">
        <f t="shared" si="250"/>
        <v>317.72401453160296</v>
      </c>
      <c r="F607" s="21">
        <f t="shared" si="251"/>
        <v>3177.2401453160296</v>
      </c>
      <c r="G607" s="24">
        <f>'DDS Rates for Amend'!AG20</f>
        <v>185.48702722224002</v>
      </c>
      <c r="H607" s="33">
        <f t="shared" si="252"/>
        <v>589336.82932582824</v>
      </c>
      <c r="I607" s="688"/>
      <c r="J607" s="205"/>
    </row>
    <row r="608" spans="1:19" x14ac:dyDescent="0.25">
      <c r="A608" s="21">
        <f>A$18</f>
        <v>1932</v>
      </c>
      <c r="B608" s="149">
        <f t="shared" si="247"/>
        <v>1.5772870662460567E-2</v>
      </c>
      <c r="C608" s="20">
        <f t="shared" si="248"/>
        <v>14</v>
      </c>
      <c r="D608" s="21">
        <f t="shared" si="249"/>
        <v>7</v>
      </c>
      <c r="E608" s="22">
        <f t="shared" si="250"/>
        <v>332.21299528965375</v>
      </c>
      <c r="F608" s="21">
        <f t="shared" si="251"/>
        <v>2325.4909670275761</v>
      </c>
      <c r="G608" s="24">
        <f>'DDS Rates for Amend'!AG21</f>
        <v>190.30968993001827</v>
      </c>
      <c r="H608" s="33">
        <f t="shared" si="252"/>
        <v>442563.46487007634</v>
      </c>
      <c r="I608" s="688"/>
      <c r="J608" s="205"/>
    </row>
    <row r="609" spans="1:19" x14ac:dyDescent="0.25">
      <c r="A609" s="21">
        <f>A$19</f>
        <v>1962</v>
      </c>
      <c r="B609" s="149">
        <f t="shared" si="247"/>
        <v>1.5527950310559006E-2</v>
      </c>
      <c r="C609" s="20">
        <f t="shared" si="248"/>
        <v>15</v>
      </c>
      <c r="D609" s="21">
        <f t="shared" si="249"/>
        <v>4</v>
      </c>
      <c r="E609" s="22">
        <f t="shared" si="250"/>
        <v>346.70197604770448</v>
      </c>
      <c r="F609" s="21">
        <f t="shared" si="251"/>
        <v>1386.8079041908179</v>
      </c>
      <c r="G609" s="24">
        <f>'DDS Rates for Amend'!AG22</f>
        <v>195.25774186819874</v>
      </c>
      <c r="H609" s="33">
        <f t="shared" si="252"/>
        <v>270784.97977726843</v>
      </c>
      <c r="I609" s="689"/>
      <c r="J609" s="205"/>
      <c r="K609" s="285">
        <f>SUM(H595:H609)</f>
        <v>17718304.448997315</v>
      </c>
      <c r="L609" s="17">
        <f>IF(K609='Appendix J-2'!CD35,0,error)</f>
        <v>0</v>
      </c>
    </row>
    <row r="610" spans="1:19" x14ac:dyDescent="0.25">
      <c r="C610"/>
      <c r="I610" s="568"/>
      <c r="J610"/>
    </row>
    <row r="611" spans="1:19" x14ac:dyDescent="0.25">
      <c r="A611" s="271" t="s">
        <v>73</v>
      </c>
      <c r="B611" s="272"/>
      <c r="C611" s="272"/>
      <c r="D611" s="292" t="str">
        <f>'Appendix J-2'!B36</f>
        <v>Visit</v>
      </c>
      <c r="E611" s="223" t="str">
        <f>'Appendix J-2'!C36</f>
        <v>1 day</v>
      </c>
      <c r="F611" s="690"/>
      <c r="G611" s="690"/>
      <c r="H611" s="690"/>
      <c r="I611" s="687" t="s">
        <v>1069</v>
      </c>
      <c r="J611" s="205"/>
    </row>
    <row r="612" spans="1:19" x14ac:dyDescent="0.25">
      <c r="A612" s="147" t="s">
        <v>26</v>
      </c>
      <c r="B612" s="147" t="s">
        <v>27</v>
      </c>
      <c r="C612" s="50" t="s">
        <v>166</v>
      </c>
      <c r="D612" s="91" t="s">
        <v>154</v>
      </c>
      <c r="E612" s="89" t="s">
        <v>155</v>
      </c>
      <c r="F612" s="34" t="s">
        <v>158</v>
      </c>
      <c r="G612" s="35" t="s">
        <v>156</v>
      </c>
      <c r="H612" s="51" t="s">
        <v>157</v>
      </c>
      <c r="I612" s="688"/>
      <c r="J612" s="205"/>
    </row>
    <row r="613" spans="1:19" ht="15" customHeight="1" x14ac:dyDescent="0.25">
      <c r="A613" s="21">
        <f>A$5</f>
        <v>1182</v>
      </c>
      <c r="B613" s="148"/>
      <c r="C613" s="144">
        <v>1</v>
      </c>
      <c r="D613" s="247">
        <f>'Appendix J-2'!D36</f>
        <v>11</v>
      </c>
      <c r="E613" s="22">
        <f>IF(F613=0,0,F613/D613)</f>
        <v>61.454545454545453</v>
      </c>
      <c r="F613" s="247">
        <f>'Appendix J-2'!F36</f>
        <v>676</v>
      </c>
      <c r="G613" s="24">
        <f>H613/F613</f>
        <v>196</v>
      </c>
      <c r="H613" s="250">
        <f>'Appendix J-2'!H36</f>
        <v>132496</v>
      </c>
      <c r="I613" s="688"/>
      <c r="J613" s="205"/>
    </row>
    <row r="614" spans="1:19" x14ac:dyDescent="0.25">
      <c r="A614" s="21">
        <f>A$6</f>
        <v>1288</v>
      </c>
      <c r="B614" s="149">
        <f>(A614-A613)/A613</f>
        <v>8.9678510998307953E-2</v>
      </c>
      <c r="C614" s="52">
        <v>2</v>
      </c>
      <c r="D614" s="247">
        <f>'Appendix J-2'!I36</f>
        <v>22</v>
      </c>
      <c r="E614" s="22">
        <f t="shared" ref="E614:E621" si="253">IF(F614=0,0,F614/D614)</f>
        <v>208.40909090909091</v>
      </c>
      <c r="F614" s="247">
        <f>'Appendix J-2'!K36</f>
        <v>4585</v>
      </c>
      <c r="G614" s="24">
        <f t="shared" ref="G614:G621" si="254">H614/F614</f>
        <v>195.09552889858233</v>
      </c>
      <c r="H614" s="250">
        <f>'Appendix J-2'!M36</f>
        <v>894513</v>
      </c>
      <c r="I614" s="688"/>
      <c r="J614" s="205"/>
    </row>
    <row r="615" spans="1:19" x14ac:dyDescent="0.25">
      <c r="A615" s="21">
        <f>A$7</f>
        <v>1495</v>
      </c>
      <c r="B615" s="149">
        <f t="shared" ref="B615:B627" si="255">(A615-A614)/A614</f>
        <v>0.16071428571428573</v>
      </c>
      <c r="C615" s="52">
        <v>3</v>
      </c>
      <c r="D615" s="247">
        <f>'Appendix J-2'!N36</f>
        <v>23</v>
      </c>
      <c r="E615" s="22">
        <f t="shared" si="253"/>
        <v>290.6521739130435</v>
      </c>
      <c r="F615" s="247">
        <f>'Appendix J-2'!P36</f>
        <v>6685</v>
      </c>
      <c r="G615" s="24">
        <f t="shared" si="254"/>
        <v>195.99177262528048</v>
      </c>
      <c r="H615" s="248">
        <f>'Appendix J-2'!R36</f>
        <v>1310205</v>
      </c>
      <c r="I615" s="688"/>
      <c r="J615" s="205"/>
    </row>
    <row r="616" spans="1:19" x14ac:dyDescent="0.25">
      <c r="A616" s="21">
        <f>A$8</f>
        <v>1484</v>
      </c>
      <c r="B616" s="149">
        <f t="shared" si="255"/>
        <v>-7.3578595317725752E-3</v>
      </c>
      <c r="C616" s="52">
        <f t="shared" ref="C616:C627" si="256">C615+1</f>
        <v>4</v>
      </c>
      <c r="D616" s="247">
        <f>'Appendix J-2'!S36</f>
        <v>24</v>
      </c>
      <c r="E616" s="22">
        <f t="shared" si="253"/>
        <v>276.95833333333331</v>
      </c>
      <c r="F616" s="247">
        <f>'Appendix J-2'!U36</f>
        <v>6647</v>
      </c>
      <c r="G616" s="24">
        <f t="shared" si="254"/>
        <v>196</v>
      </c>
      <c r="H616" s="248">
        <f>'Appendix J-2'!W36</f>
        <v>1302812</v>
      </c>
      <c r="I616" s="688"/>
      <c r="J616" s="205"/>
    </row>
    <row r="617" spans="1:19" x14ac:dyDescent="0.25">
      <c r="A617" s="21">
        <f>A$9</f>
        <v>1528</v>
      </c>
      <c r="B617" s="149">
        <f t="shared" si="255"/>
        <v>2.9649595687331536E-2</v>
      </c>
      <c r="C617" s="52">
        <f t="shared" si="256"/>
        <v>5</v>
      </c>
      <c r="D617" s="247">
        <f>'Appendix J-2'!X36</f>
        <v>19</v>
      </c>
      <c r="E617" s="22">
        <f t="shared" si="253"/>
        <v>315.89473684210526</v>
      </c>
      <c r="F617" s="247">
        <f>'Appendix J-2'!Z36</f>
        <v>6002</v>
      </c>
      <c r="G617" s="24">
        <f t="shared" si="254"/>
        <v>196</v>
      </c>
      <c r="H617" s="248">
        <f>'Appendix J-2'!AB36</f>
        <v>1176392</v>
      </c>
      <c r="I617" s="688"/>
      <c r="J617" s="205"/>
    </row>
    <row r="618" spans="1:19" x14ac:dyDescent="0.25">
      <c r="A618" s="21">
        <f>A$10</f>
        <v>1592</v>
      </c>
      <c r="B618" s="149">
        <f t="shared" si="255"/>
        <v>4.1884816753926704E-2</v>
      </c>
      <c r="C618" s="52">
        <f t="shared" si="256"/>
        <v>6</v>
      </c>
      <c r="D618" s="249">
        <f>'Appendix J-2'!AC36</f>
        <v>38</v>
      </c>
      <c r="E618" s="22">
        <f t="shared" si="253"/>
        <v>163.34210526315789</v>
      </c>
      <c r="F618" s="249">
        <f>'Appendix J-2'!AE36</f>
        <v>6207</v>
      </c>
      <c r="G618" s="24">
        <f t="shared" si="254"/>
        <v>196</v>
      </c>
      <c r="H618" s="248">
        <f>'Appendix J-2'!AG36</f>
        <v>1216572</v>
      </c>
      <c r="I618" s="688"/>
      <c r="J618" s="205"/>
      <c r="N618" s="87" t="s">
        <v>509</v>
      </c>
    </row>
    <row r="619" spans="1:19" x14ac:dyDescent="0.25">
      <c r="A619" s="21">
        <f>A$11</f>
        <v>1642</v>
      </c>
      <c r="B619" s="149">
        <f t="shared" si="255"/>
        <v>3.1407035175879394E-2</v>
      </c>
      <c r="C619" s="20">
        <f t="shared" si="256"/>
        <v>7</v>
      </c>
      <c r="D619" s="249">
        <f>'Appendix J-2'!AH36</f>
        <v>50</v>
      </c>
      <c r="E619" s="22">
        <f t="shared" si="253"/>
        <v>150.86000000000001</v>
      </c>
      <c r="F619" s="249">
        <f>'Appendix J-2'!AJ36</f>
        <v>7543</v>
      </c>
      <c r="G619" s="24">
        <f t="shared" si="254"/>
        <v>198.79146228291131</v>
      </c>
      <c r="H619" s="248">
        <f>'Appendix J-2'!AL36</f>
        <v>1499484</v>
      </c>
      <c r="I619" s="688"/>
      <c r="J619" s="205"/>
      <c r="N619" s="31" t="s">
        <v>506</v>
      </c>
      <c r="O619" s="31">
        <v>2014</v>
      </c>
      <c r="P619" s="31">
        <v>29</v>
      </c>
      <c r="Q619" s="90"/>
    </row>
    <row r="620" spans="1:19" x14ac:dyDescent="0.25">
      <c r="A620" s="21">
        <f>A$12</f>
        <v>1675</v>
      </c>
      <c r="B620" s="149">
        <f t="shared" si="255"/>
        <v>2.0097442143727162E-2</v>
      </c>
      <c r="C620" s="20">
        <f t="shared" si="256"/>
        <v>8</v>
      </c>
      <c r="D620" s="249">
        <f>'Appendix J-2'!AM36</f>
        <v>30</v>
      </c>
      <c r="E620" s="22">
        <f t="shared" si="253"/>
        <v>287.5</v>
      </c>
      <c r="F620" s="249">
        <f>'Appendix J-2'!AO36</f>
        <v>8625</v>
      </c>
      <c r="G620" s="24">
        <f t="shared" si="254"/>
        <v>210.61600000000001</v>
      </c>
      <c r="H620" s="248">
        <f>'Appendix J-2'!AQ36</f>
        <v>1816563</v>
      </c>
      <c r="I620" s="688"/>
      <c r="J620" s="205"/>
      <c r="N620" s="31" t="s">
        <v>507</v>
      </c>
      <c r="O620" s="31">
        <v>2015</v>
      </c>
      <c r="P620" s="31">
        <v>28</v>
      </c>
      <c r="Q620" s="90"/>
    </row>
    <row r="621" spans="1:19" x14ac:dyDescent="0.25">
      <c r="A621" s="21">
        <f>A$13</f>
        <v>1739</v>
      </c>
      <c r="B621" s="149">
        <f t="shared" si="255"/>
        <v>3.8208955223880597E-2</v>
      </c>
      <c r="C621" s="20">
        <f t="shared" si="256"/>
        <v>9</v>
      </c>
      <c r="D621" s="249">
        <f>'Appendix J-2'!AR36</f>
        <v>31</v>
      </c>
      <c r="E621" s="22">
        <f t="shared" si="253"/>
        <v>287.51612903225805</v>
      </c>
      <c r="F621" s="249">
        <f>'Appendix J-2'!AT36</f>
        <v>8913</v>
      </c>
      <c r="G621" s="24">
        <f t="shared" si="254"/>
        <v>218.82588129698195</v>
      </c>
      <c r="H621" s="248">
        <f>'Appendix J-2'!AV36</f>
        <v>1950395.08</v>
      </c>
      <c r="I621" s="688"/>
      <c r="J621" s="205"/>
      <c r="N621" s="31" t="s">
        <v>508</v>
      </c>
      <c r="O621" s="31">
        <v>2016</v>
      </c>
      <c r="P621" s="31">
        <v>31</v>
      </c>
      <c r="Q621" s="90"/>
      <c r="R621" s="326"/>
      <c r="S621" s="87"/>
    </row>
    <row r="622" spans="1:19" x14ac:dyDescent="0.25">
      <c r="A622" s="21">
        <f>A$14</f>
        <v>1752</v>
      </c>
      <c r="B622" s="149">
        <f t="shared" si="255"/>
        <v>7.4755606670500289E-3</v>
      </c>
      <c r="C622" s="20">
        <f t="shared" si="256"/>
        <v>10</v>
      </c>
      <c r="D622" s="21">
        <f>ROUND(TREND($D$618:$D$621,$A$618:$A$621,A622),0)</f>
        <v>30</v>
      </c>
      <c r="E622" s="22">
        <f>IF(TREND($E$613:$E$621,$C$613:$C$621,C622)&lt;365,TREND($E$613:$E$621,$C$613:$C$621,C622),365)</f>
        <v>289.31399766811342</v>
      </c>
      <c r="F622" s="21">
        <f>D622*E622</f>
        <v>8679.4199300434029</v>
      </c>
      <c r="G622" s="24">
        <f>'DDS Rates for Amend'!AH17</f>
        <v>223.26</v>
      </c>
      <c r="H622" s="33">
        <f>F622*G622</f>
        <v>1937767.2935814902</v>
      </c>
      <c r="I622" s="688"/>
      <c r="J622" s="205"/>
      <c r="P622" s="336"/>
      <c r="Q622" s="336"/>
    </row>
    <row r="623" spans="1:19" x14ac:dyDescent="0.25">
      <c r="A623" s="21">
        <f>A$15</f>
        <v>1822</v>
      </c>
      <c r="B623" s="149">
        <f t="shared" si="255"/>
        <v>3.9954337899543377E-2</v>
      </c>
      <c r="C623" s="20">
        <f t="shared" si="256"/>
        <v>11</v>
      </c>
      <c r="D623" s="21">
        <f t="shared" ref="D623:D627" si="257">ROUND(TREND($D$618:$D$621,$A$618:$A$621,A623),0)</f>
        <v>25</v>
      </c>
      <c r="E623" s="22">
        <f t="shared" ref="E623:E627" si="258">IF(TREND($E$613:$E$621,$C$613:$C$621,C623)&lt;365,TREND($E$613:$E$621,$C$613:$C$621,C623),365)</f>
        <v>301.78597242956869</v>
      </c>
      <c r="F623" s="21">
        <f t="shared" ref="F623:F627" si="259">D623*E623</f>
        <v>7544.6493107392171</v>
      </c>
      <c r="G623" s="24">
        <f>'DDS Rates for Amend'!AH18</f>
        <v>229.48</v>
      </c>
      <c r="H623" s="33">
        <f t="shared" ref="H623:H627" si="260">F623*G623</f>
        <v>1731346.1238284355</v>
      </c>
      <c r="I623" s="688"/>
      <c r="J623" s="205"/>
      <c r="Q623" s="336"/>
    </row>
    <row r="624" spans="1:19" x14ac:dyDescent="0.25">
      <c r="A624" s="21">
        <f>A$16</f>
        <v>1872</v>
      </c>
      <c r="B624" s="149">
        <f t="shared" si="255"/>
        <v>2.7442371020856202E-2</v>
      </c>
      <c r="C624" s="20">
        <f t="shared" si="256"/>
        <v>12</v>
      </c>
      <c r="D624" s="21">
        <f t="shared" si="257"/>
        <v>21</v>
      </c>
      <c r="E624" s="22">
        <f t="shared" si="258"/>
        <v>314.25794719102396</v>
      </c>
      <c r="F624" s="21">
        <f t="shared" si="259"/>
        <v>6599.4168910115031</v>
      </c>
      <c r="G624" s="24">
        <f>'DDS Rates for Amend'!AH19</f>
        <v>235.44647999999998</v>
      </c>
      <c r="H624" s="33">
        <f t="shared" si="260"/>
        <v>1553809.4770412019</v>
      </c>
      <c r="I624" s="688"/>
      <c r="J624" s="205"/>
      <c r="Q624" s="336"/>
    </row>
    <row r="625" spans="1:19" x14ac:dyDescent="0.25">
      <c r="A625" s="21">
        <f>A$17</f>
        <v>1902</v>
      </c>
      <c r="B625" s="149">
        <f t="shared" si="255"/>
        <v>1.6025641025641024E-2</v>
      </c>
      <c r="C625" s="20">
        <f t="shared" si="256"/>
        <v>13</v>
      </c>
      <c r="D625" s="21">
        <f t="shared" si="257"/>
        <v>19</v>
      </c>
      <c r="E625" s="22">
        <f t="shared" si="258"/>
        <v>326.72992195247923</v>
      </c>
      <c r="F625" s="21">
        <f t="shared" si="259"/>
        <v>6207.8685170971057</v>
      </c>
      <c r="G625" s="24">
        <f>'DDS Rates for Amend'!AH20</f>
        <v>241.56808847999997</v>
      </c>
      <c r="H625" s="33">
        <f t="shared" si="260"/>
        <v>1499622.9312103197</v>
      </c>
      <c r="I625" s="688"/>
      <c r="J625" s="205"/>
      <c r="Q625" s="336"/>
    </row>
    <row r="626" spans="1:19" x14ac:dyDescent="0.25">
      <c r="A626" s="21">
        <f>A$18</f>
        <v>1932</v>
      </c>
      <c r="B626" s="149">
        <f t="shared" si="255"/>
        <v>1.5772870662460567E-2</v>
      </c>
      <c r="C626" s="20">
        <f t="shared" si="256"/>
        <v>14</v>
      </c>
      <c r="D626" s="21">
        <f t="shared" si="257"/>
        <v>16</v>
      </c>
      <c r="E626" s="22">
        <f t="shared" si="258"/>
        <v>339.20189671393445</v>
      </c>
      <c r="F626" s="21">
        <f t="shared" si="259"/>
        <v>5427.2303474229511</v>
      </c>
      <c r="G626" s="24">
        <f>'DDS Rates for Amend'!AH21</f>
        <v>247.84885878047996</v>
      </c>
      <c r="H626" s="33">
        <f t="shared" si="260"/>
        <v>1345132.8479475663</v>
      </c>
      <c r="I626" s="688"/>
      <c r="J626" s="205"/>
      <c r="Q626" s="336"/>
    </row>
    <row r="627" spans="1:19" x14ac:dyDescent="0.25">
      <c r="A627" s="21">
        <f>A$19</f>
        <v>1962</v>
      </c>
      <c r="B627" s="149">
        <f t="shared" si="255"/>
        <v>1.5527950310559006E-2</v>
      </c>
      <c r="C627" s="20">
        <f t="shared" si="256"/>
        <v>15</v>
      </c>
      <c r="D627" s="21">
        <f t="shared" si="257"/>
        <v>14</v>
      </c>
      <c r="E627" s="22">
        <f t="shared" si="258"/>
        <v>351.67387147538972</v>
      </c>
      <c r="F627" s="21">
        <f t="shared" si="259"/>
        <v>4923.4342006554562</v>
      </c>
      <c r="G627" s="24">
        <f>'DDS Rates for Amend'!AH22</f>
        <v>254.29292910877243</v>
      </c>
      <c r="H627" s="33">
        <f t="shared" si="260"/>
        <v>1251994.5041589835</v>
      </c>
      <c r="I627" s="689"/>
      <c r="J627" s="205"/>
      <c r="K627" s="285">
        <f>SUM(H613:H627)</f>
        <v>20619105.257767998</v>
      </c>
      <c r="L627" s="17">
        <f>IF(K627='Appendix J-2'!CD36,0,error)</f>
        <v>0</v>
      </c>
      <c r="Q627" s="336"/>
    </row>
    <row r="628" spans="1:19" x14ac:dyDescent="0.25">
      <c r="C628"/>
      <c r="I628" s="568"/>
      <c r="J628"/>
    </row>
    <row r="629" spans="1:19" ht="15" customHeight="1" x14ac:dyDescent="0.25">
      <c r="A629" s="271" t="s">
        <v>74</v>
      </c>
      <c r="B629" s="272"/>
      <c r="C629" s="272"/>
      <c r="D629" s="292" t="str">
        <f>'Appendix J-2'!B37</f>
        <v>Visit</v>
      </c>
      <c r="E629" s="223" t="str">
        <f>'Appendix J-2'!C37</f>
        <v>1 day</v>
      </c>
      <c r="F629" s="690"/>
      <c r="G629" s="690"/>
      <c r="H629" s="690"/>
      <c r="I629" s="687" t="s">
        <v>1071</v>
      </c>
      <c r="J629" s="205"/>
    </row>
    <row r="630" spans="1:19" x14ac:dyDescent="0.25">
      <c r="A630" s="147" t="s">
        <v>26</v>
      </c>
      <c r="B630" s="147" t="s">
        <v>27</v>
      </c>
      <c r="C630" s="50" t="s">
        <v>166</v>
      </c>
      <c r="D630" s="91" t="s">
        <v>154</v>
      </c>
      <c r="E630" s="89" t="s">
        <v>155</v>
      </c>
      <c r="F630" s="34" t="s">
        <v>158</v>
      </c>
      <c r="G630" s="35" t="s">
        <v>156</v>
      </c>
      <c r="H630" s="51" t="s">
        <v>157</v>
      </c>
      <c r="I630" s="688"/>
      <c r="J630" s="205"/>
    </row>
    <row r="631" spans="1:19" x14ac:dyDescent="0.25">
      <c r="A631" s="21">
        <f>A$5</f>
        <v>1182</v>
      </c>
      <c r="B631" s="148"/>
      <c r="C631" s="144">
        <v>1</v>
      </c>
      <c r="D631" s="247">
        <f>'Appendix J-2'!D37</f>
        <v>4</v>
      </c>
      <c r="E631" s="22">
        <f>IF(F631=0,0,F631/D631)</f>
        <v>38.75</v>
      </c>
      <c r="F631" s="247">
        <f>'Appendix J-2'!F37</f>
        <v>155</v>
      </c>
      <c r="G631" s="24">
        <f>H631/F631</f>
        <v>134.89354838709679</v>
      </c>
      <c r="H631" s="250">
        <f>'Appendix J-2'!H37</f>
        <v>20908.5</v>
      </c>
      <c r="I631" s="688"/>
      <c r="J631" s="205"/>
    </row>
    <row r="632" spans="1:19" x14ac:dyDescent="0.25">
      <c r="A632" s="21">
        <f>A$6</f>
        <v>1288</v>
      </c>
      <c r="B632" s="149">
        <f>(A632-A631)/A631</f>
        <v>8.9678510998307953E-2</v>
      </c>
      <c r="C632" s="52">
        <v>2</v>
      </c>
      <c r="D632" s="247">
        <f>'Appendix J-2'!I37</f>
        <v>6</v>
      </c>
      <c r="E632" s="22">
        <f t="shared" ref="E632:E639" si="261">IF(F632=0,0,F632/D632)</f>
        <v>285.16666666666669</v>
      </c>
      <c r="F632" s="247">
        <f>'Appendix J-2'!K37</f>
        <v>1711</v>
      </c>
      <c r="G632" s="24">
        <f t="shared" ref="G632:G639" si="262">H632/F632</f>
        <v>99.82856224430158</v>
      </c>
      <c r="H632" s="250">
        <f>'Appendix J-2'!M37</f>
        <v>170806.67</v>
      </c>
      <c r="I632" s="688"/>
      <c r="J632" s="205"/>
    </row>
    <row r="633" spans="1:19" x14ac:dyDescent="0.25">
      <c r="A633" s="21">
        <f>A$7</f>
        <v>1495</v>
      </c>
      <c r="B633" s="149">
        <f t="shared" ref="B633:B645" si="263">(A633-A632)/A632</f>
        <v>0.16071428571428573</v>
      </c>
      <c r="C633" s="52">
        <v>3</v>
      </c>
      <c r="D633" s="247">
        <f>'Appendix J-2'!N37</f>
        <v>7</v>
      </c>
      <c r="E633" s="22">
        <f t="shared" si="261"/>
        <v>286.14285714285717</v>
      </c>
      <c r="F633" s="247">
        <f>'Appendix J-2'!P37</f>
        <v>2003</v>
      </c>
      <c r="G633" s="24">
        <f t="shared" si="262"/>
        <v>101.03817274088868</v>
      </c>
      <c r="H633" s="248">
        <f>'Appendix J-2'!R37</f>
        <v>202379.46000000002</v>
      </c>
      <c r="I633" s="688"/>
      <c r="J633" s="205"/>
    </row>
    <row r="634" spans="1:19" x14ac:dyDescent="0.25">
      <c r="A634" s="21">
        <f>A$8</f>
        <v>1484</v>
      </c>
      <c r="B634" s="149">
        <f t="shared" si="263"/>
        <v>-7.3578595317725752E-3</v>
      </c>
      <c r="C634" s="52">
        <f t="shared" ref="C634:C645" si="264">C633+1</f>
        <v>4</v>
      </c>
      <c r="D634" s="247">
        <f>'Appendix J-2'!S37</f>
        <v>5</v>
      </c>
      <c r="E634" s="22">
        <f t="shared" si="261"/>
        <v>264.39999999999998</v>
      </c>
      <c r="F634" s="247">
        <f>'Appendix J-2'!U37</f>
        <v>1322</v>
      </c>
      <c r="G634" s="24">
        <f t="shared" si="262"/>
        <v>94.906172465960665</v>
      </c>
      <c r="H634" s="248">
        <f>'Appendix J-2'!W37</f>
        <v>125465.96</v>
      </c>
      <c r="I634" s="688"/>
      <c r="J634" s="205"/>
    </row>
    <row r="635" spans="1:19" x14ac:dyDescent="0.25">
      <c r="A635" s="21">
        <f>A$9</f>
        <v>1528</v>
      </c>
      <c r="B635" s="149">
        <f t="shared" si="263"/>
        <v>2.9649595687331536E-2</v>
      </c>
      <c r="C635" s="52">
        <f t="shared" si="264"/>
        <v>5</v>
      </c>
      <c r="D635" s="247">
        <f>'Appendix J-2'!X37</f>
        <v>0</v>
      </c>
      <c r="E635" s="22">
        <f t="shared" si="261"/>
        <v>0</v>
      </c>
      <c r="F635" s="247">
        <f>'Appendix J-2'!Z37</f>
        <v>0</v>
      </c>
      <c r="G635" s="24" t="e">
        <f t="shared" si="262"/>
        <v>#DIV/0!</v>
      </c>
      <c r="H635" s="248">
        <f>'Appendix J-2'!AB37</f>
        <v>0</v>
      </c>
      <c r="I635" s="688"/>
      <c r="J635" s="205"/>
    </row>
    <row r="636" spans="1:19" x14ac:dyDescent="0.25">
      <c r="A636" s="21">
        <f>A$10</f>
        <v>1592</v>
      </c>
      <c r="B636" s="149">
        <f t="shared" si="263"/>
        <v>4.1884816753926704E-2</v>
      </c>
      <c r="C636" s="20">
        <f t="shared" si="264"/>
        <v>6</v>
      </c>
      <c r="D636" s="249">
        <f>'Appendix J-2'!AC37</f>
        <v>3</v>
      </c>
      <c r="E636" s="22">
        <f t="shared" si="261"/>
        <v>132</v>
      </c>
      <c r="F636" s="249">
        <f>'Appendix J-2'!AE37</f>
        <v>396</v>
      </c>
      <c r="G636" s="24">
        <f t="shared" si="262"/>
        <v>500</v>
      </c>
      <c r="H636" s="248">
        <f>'Appendix J-2'!AG37</f>
        <v>198000</v>
      </c>
      <c r="I636" s="688"/>
      <c r="J636" s="205"/>
      <c r="N636" s="87" t="s">
        <v>509</v>
      </c>
    </row>
    <row r="637" spans="1:19" x14ac:dyDescent="0.25">
      <c r="A637" s="21">
        <f>A$11</f>
        <v>1642</v>
      </c>
      <c r="B637" s="149">
        <f t="shared" si="263"/>
        <v>3.1407035175879394E-2</v>
      </c>
      <c r="C637" s="20">
        <f t="shared" si="264"/>
        <v>7</v>
      </c>
      <c r="D637" s="249">
        <f>'Appendix J-2'!AH37</f>
        <v>10</v>
      </c>
      <c r="E637" s="22">
        <f t="shared" si="261"/>
        <v>163.80000000000001</v>
      </c>
      <c r="F637" s="249">
        <f>'Appendix J-2'!AJ37</f>
        <v>1638</v>
      </c>
      <c r="G637" s="24">
        <f t="shared" si="262"/>
        <v>500</v>
      </c>
      <c r="H637" s="248">
        <f>'Appendix J-2'!AL37</f>
        <v>819000</v>
      </c>
      <c r="I637" s="688"/>
      <c r="J637" s="205"/>
      <c r="N637" s="31" t="s">
        <v>506</v>
      </c>
      <c r="O637" s="31">
        <v>2014</v>
      </c>
      <c r="P637" s="31">
        <v>5</v>
      </c>
      <c r="Q637" s="90"/>
    </row>
    <row r="638" spans="1:19" x14ac:dyDescent="0.25">
      <c r="A638" s="21">
        <f>A$12</f>
        <v>1675</v>
      </c>
      <c r="B638" s="149">
        <f t="shared" si="263"/>
        <v>2.0097442143727162E-2</v>
      </c>
      <c r="C638" s="20">
        <f t="shared" si="264"/>
        <v>8</v>
      </c>
      <c r="D638" s="249">
        <f>'Appendix J-2'!AM37</f>
        <v>8</v>
      </c>
      <c r="E638" s="22">
        <f t="shared" si="261"/>
        <v>266.375</v>
      </c>
      <c r="F638" s="249">
        <f>'Appendix J-2'!AO37</f>
        <v>2131</v>
      </c>
      <c r="G638" s="24">
        <f t="shared" si="262"/>
        <v>500</v>
      </c>
      <c r="H638" s="248">
        <f>'Appendix J-2'!AQ37</f>
        <v>1065500</v>
      </c>
      <c r="I638" s="688"/>
      <c r="J638" s="205"/>
      <c r="N638" s="31" t="s">
        <v>507</v>
      </c>
      <c r="O638" s="31">
        <v>2015</v>
      </c>
      <c r="P638" s="31">
        <v>8</v>
      </c>
      <c r="Q638" s="90"/>
    </row>
    <row r="639" spans="1:19" x14ac:dyDescent="0.25">
      <c r="A639" s="21">
        <f>A$13</f>
        <v>1739</v>
      </c>
      <c r="B639" s="149">
        <f t="shared" si="263"/>
        <v>3.8208955223880597E-2</v>
      </c>
      <c r="C639" s="20">
        <f t="shared" si="264"/>
        <v>9</v>
      </c>
      <c r="D639" s="249">
        <f>'Appendix J-2'!AR37</f>
        <v>11</v>
      </c>
      <c r="E639" s="22">
        <f t="shared" si="261"/>
        <v>272.72727272727275</v>
      </c>
      <c r="F639" s="249">
        <f>'Appendix J-2'!AT37</f>
        <v>3000</v>
      </c>
      <c r="G639" s="24">
        <f t="shared" si="262"/>
        <v>499.58466666666669</v>
      </c>
      <c r="H639" s="248">
        <f>'Appendix J-2'!AV37</f>
        <v>1498754</v>
      </c>
      <c r="I639" s="688"/>
      <c r="J639" s="205"/>
      <c r="N639" s="31" t="s">
        <v>508</v>
      </c>
      <c r="O639" s="31">
        <v>2016</v>
      </c>
      <c r="P639" s="31">
        <v>11</v>
      </c>
      <c r="Q639" s="90"/>
      <c r="R639" s="326"/>
      <c r="S639" s="87"/>
    </row>
    <row r="640" spans="1:19" x14ac:dyDescent="0.25">
      <c r="A640" s="21">
        <f>A$14</f>
        <v>1752</v>
      </c>
      <c r="B640" s="149">
        <f t="shared" si="263"/>
        <v>7.4755606670500289E-3</v>
      </c>
      <c r="C640" s="20">
        <f t="shared" si="264"/>
        <v>10</v>
      </c>
      <c r="D640" s="26">
        <f>ROUND(TREND($D$638:$D$639,$A$638:$A$639,A640),0)</f>
        <v>12</v>
      </c>
      <c r="E640" s="23">
        <f>IF(TREND($E$631:$E$639,$C$631:$C$639,C640)&lt;365,TREND($E$631:$E$639,$C$631:$C$639,C640),365)</f>
        <v>231.79978655603659</v>
      </c>
      <c r="F640" s="21">
        <f>D640*E640</f>
        <v>2781.5974386724392</v>
      </c>
      <c r="G640" s="24">
        <f>'DDS Rates for Amend'!AI17</f>
        <v>505.12</v>
      </c>
      <c r="H640" s="33">
        <f>F640*G640</f>
        <v>1405040.4982222226</v>
      </c>
      <c r="I640" s="688"/>
      <c r="J640" s="205"/>
      <c r="P640" s="336"/>
      <c r="Q640" s="336"/>
    </row>
    <row r="641" spans="1:17" x14ac:dyDescent="0.25">
      <c r="A641" s="21">
        <f>A$15</f>
        <v>1822</v>
      </c>
      <c r="B641" s="149">
        <f t="shared" si="263"/>
        <v>3.9954337899543377E-2</v>
      </c>
      <c r="C641" s="20">
        <f t="shared" si="264"/>
        <v>11</v>
      </c>
      <c r="D641" s="26">
        <f t="shared" ref="D641:D645" si="265">ROUND(TREND($D$638:$D$639,$A$638:$A$639,A641),0)</f>
        <v>15</v>
      </c>
      <c r="E641" s="23">
        <f t="shared" ref="E641:E645" si="266">IF(TREND($E$631:$E$639,$C$631:$C$639,C641)&lt;365,TREND($E$631:$E$639,$C$631:$C$639,C641),365)</f>
        <v>240.17392616642621</v>
      </c>
      <c r="F641" s="21">
        <f t="shared" ref="F641:F645" si="267">D641*E641</f>
        <v>3602.6088924963933</v>
      </c>
      <c r="G641" s="24">
        <f>'DDS Rates for Amend'!AI18</f>
        <v>518.64</v>
      </c>
      <c r="H641" s="33">
        <f t="shared" ref="H641:H645" si="268">F641*G641</f>
        <v>1868457.0760043294</v>
      </c>
      <c r="I641" s="688"/>
      <c r="J641" s="205"/>
      <c r="Q641" s="336"/>
    </row>
    <row r="642" spans="1:17" x14ac:dyDescent="0.25">
      <c r="A642" s="21">
        <f>A$16</f>
        <v>1872</v>
      </c>
      <c r="B642" s="149">
        <f t="shared" si="263"/>
        <v>2.7442371020856202E-2</v>
      </c>
      <c r="C642" s="20">
        <f t="shared" si="264"/>
        <v>12</v>
      </c>
      <c r="D642" s="26">
        <f t="shared" si="265"/>
        <v>17</v>
      </c>
      <c r="E642" s="23">
        <f t="shared" si="266"/>
        <v>248.5480657768158</v>
      </c>
      <c r="F642" s="21">
        <f t="shared" si="267"/>
        <v>4225.3171182058686</v>
      </c>
      <c r="G642" s="24">
        <f>'DDS Rates for Amend'!AI19</f>
        <v>532.12464</v>
      </c>
      <c r="H642" s="33">
        <f t="shared" si="268"/>
        <v>2248395.3504111352</v>
      </c>
      <c r="I642" s="688"/>
      <c r="J642" s="205"/>
      <c r="Q642" s="336"/>
    </row>
    <row r="643" spans="1:17" x14ac:dyDescent="0.25">
      <c r="A643" s="21">
        <f>A$17</f>
        <v>1902</v>
      </c>
      <c r="B643" s="149">
        <f t="shared" si="263"/>
        <v>1.6025641025641024E-2</v>
      </c>
      <c r="C643" s="20">
        <f t="shared" si="264"/>
        <v>13</v>
      </c>
      <c r="D643" s="26">
        <f t="shared" si="265"/>
        <v>19</v>
      </c>
      <c r="E643" s="23">
        <f t="shared" si="266"/>
        <v>256.92220538720539</v>
      </c>
      <c r="F643" s="21">
        <f t="shared" si="267"/>
        <v>4881.5219023569025</v>
      </c>
      <c r="G643" s="24">
        <f>'DDS Rates for Amend'!AI20</f>
        <v>545.95988064000005</v>
      </c>
      <c r="H643" s="33">
        <f t="shared" si="268"/>
        <v>2665115.1151523204</v>
      </c>
      <c r="I643" s="688"/>
      <c r="J643" s="205"/>
      <c r="Q643" s="336"/>
    </row>
    <row r="644" spans="1:17" x14ac:dyDescent="0.25">
      <c r="A644" s="21">
        <f>A$18</f>
        <v>1932</v>
      </c>
      <c r="B644" s="149">
        <f t="shared" si="263"/>
        <v>1.5772870662460567E-2</v>
      </c>
      <c r="C644" s="20">
        <f t="shared" si="264"/>
        <v>14</v>
      </c>
      <c r="D644" s="26">
        <f t="shared" si="265"/>
        <v>20</v>
      </c>
      <c r="E644" s="23">
        <f t="shared" si="266"/>
        <v>265.29634499759504</v>
      </c>
      <c r="F644" s="21">
        <f t="shared" si="267"/>
        <v>5305.9268999519009</v>
      </c>
      <c r="G644" s="24">
        <f>'DDS Rates for Amend'!AI21</f>
        <v>560.15483753664</v>
      </c>
      <c r="H644" s="33">
        <f t="shared" si="268"/>
        <v>2972140.6206238451</v>
      </c>
      <c r="I644" s="688"/>
      <c r="J644" s="205"/>
      <c r="Q644" s="336"/>
    </row>
    <row r="645" spans="1:17" x14ac:dyDescent="0.25">
      <c r="A645" s="21">
        <f>A$19</f>
        <v>1962</v>
      </c>
      <c r="B645" s="149">
        <f t="shared" si="263"/>
        <v>1.5527950310559006E-2</v>
      </c>
      <c r="C645" s="20">
        <f t="shared" si="264"/>
        <v>15</v>
      </c>
      <c r="D645" s="26">
        <f t="shared" si="265"/>
        <v>21</v>
      </c>
      <c r="E645" s="23">
        <f t="shared" si="266"/>
        <v>273.67048460798463</v>
      </c>
      <c r="F645" s="21">
        <f t="shared" si="267"/>
        <v>5747.0801767676776</v>
      </c>
      <c r="G645" s="24">
        <f>'DDS Rates for Amend'!AI22</f>
        <v>574.71886331259259</v>
      </c>
      <c r="H645" s="33">
        <f t="shared" si="268"/>
        <v>3302955.3865582533</v>
      </c>
      <c r="I645" s="689"/>
      <c r="J645" s="205"/>
      <c r="K645" s="285">
        <f>SUM(H631:H645)</f>
        <v>18562918.636972107</v>
      </c>
      <c r="L645" s="17">
        <f>IF(K645='Appendix J-2'!CD37,0,error)</f>
        <v>0</v>
      </c>
      <c r="Q645" s="336"/>
    </row>
    <row r="646" spans="1:17" x14ac:dyDescent="0.25">
      <c r="C646"/>
      <c r="I646" s="568"/>
      <c r="J646"/>
    </row>
    <row r="647" spans="1:17" x14ac:dyDescent="0.25">
      <c r="A647" s="271" t="s">
        <v>28</v>
      </c>
      <c r="B647" s="272"/>
      <c r="C647" s="272"/>
      <c r="D647" s="292" t="str">
        <f>'Appendix J-2'!B38</f>
        <v>Service</v>
      </c>
      <c r="E647" s="223" t="str">
        <f>'Appendix J-2'!C38</f>
        <v>1 unit</v>
      </c>
      <c r="F647" s="690"/>
      <c r="G647" s="690"/>
      <c r="H647" s="690"/>
      <c r="I647" s="687" t="s">
        <v>1072</v>
      </c>
      <c r="J647" s="205"/>
    </row>
    <row r="648" spans="1:17" x14ac:dyDescent="0.25">
      <c r="A648" s="147" t="s">
        <v>26</v>
      </c>
      <c r="B648" s="147" t="s">
        <v>27</v>
      </c>
      <c r="C648" s="50" t="s">
        <v>166</v>
      </c>
      <c r="D648" s="91" t="s">
        <v>154</v>
      </c>
      <c r="E648" s="89" t="s">
        <v>155</v>
      </c>
      <c r="F648" s="34" t="s">
        <v>158</v>
      </c>
      <c r="G648" s="35" t="s">
        <v>156</v>
      </c>
      <c r="H648" s="51" t="s">
        <v>157</v>
      </c>
      <c r="I648" s="688"/>
      <c r="J648" s="205"/>
    </row>
    <row r="649" spans="1:17" x14ac:dyDescent="0.25">
      <c r="A649" s="21">
        <f>A$5</f>
        <v>1182</v>
      </c>
      <c r="B649" s="148"/>
      <c r="C649" s="144">
        <v>1</v>
      </c>
      <c r="D649" s="247">
        <f>'Appendix J-2'!D38</f>
        <v>0</v>
      </c>
      <c r="E649" s="23">
        <f t="shared" ref="E649:E657" si="269">IF(F649=0,0,F649/D649)</f>
        <v>0</v>
      </c>
      <c r="F649" s="247">
        <f>'Appendix J-2'!F38</f>
        <v>0</v>
      </c>
      <c r="G649" s="25" t="e">
        <f>H649/F649</f>
        <v>#DIV/0!</v>
      </c>
      <c r="H649" s="250">
        <f>'Appendix J-2'!H38</f>
        <v>0</v>
      </c>
      <c r="I649" s="688"/>
      <c r="J649" s="205"/>
    </row>
    <row r="650" spans="1:17" x14ac:dyDescent="0.25">
      <c r="A650" s="21">
        <f>A$6</f>
        <v>1288</v>
      </c>
      <c r="B650" s="149">
        <f>(A650-A649)/A649</f>
        <v>8.9678510998307953E-2</v>
      </c>
      <c r="C650" s="52">
        <v>2</v>
      </c>
      <c r="D650" s="247">
        <f>'Appendix J-2'!I38</f>
        <v>2</v>
      </c>
      <c r="E650" s="23">
        <f t="shared" si="269"/>
        <v>1</v>
      </c>
      <c r="F650" s="247">
        <f>'Appendix J-2'!K38</f>
        <v>2</v>
      </c>
      <c r="G650" s="25">
        <f t="shared" ref="G650:G657" si="270">H650/F650</f>
        <v>5000</v>
      </c>
      <c r="H650" s="250">
        <f>'Appendix J-2'!M38</f>
        <v>10000</v>
      </c>
      <c r="I650" s="688"/>
      <c r="J650" s="205"/>
    </row>
    <row r="651" spans="1:17" x14ac:dyDescent="0.25">
      <c r="A651" s="21">
        <f>A$7</f>
        <v>1495</v>
      </c>
      <c r="B651" s="149">
        <f t="shared" ref="B651:B663" si="271">(A651-A650)/A650</f>
        <v>0.16071428571428573</v>
      </c>
      <c r="C651" s="52">
        <v>3</v>
      </c>
      <c r="D651" s="247">
        <f>'Appendix J-2'!N38</f>
        <v>0</v>
      </c>
      <c r="E651" s="23">
        <f t="shared" si="269"/>
        <v>0</v>
      </c>
      <c r="F651" s="247">
        <f>'Appendix J-2'!P38</f>
        <v>0</v>
      </c>
      <c r="G651" s="25" t="e">
        <f t="shared" si="270"/>
        <v>#DIV/0!</v>
      </c>
      <c r="H651" s="248">
        <f>'Appendix J-2'!R38</f>
        <v>0</v>
      </c>
      <c r="I651" s="688"/>
      <c r="J651" s="205"/>
    </row>
    <row r="652" spans="1:17" x14ac:dyDescent="0.25">
      <c r="A652" s="21">
        <f>A$8</f>
        <v>1484</v>
      </c>
      <c r="B652" s="149">
        <f t="shared" si="271"/>
        <v>-7.3578595317725752E-3</v>
      </c>
      <c r="C652" s="52">
        <f t="shared" ref="C652:C663" si="272">C651+1</f>
        <v>4</v>
      </c>
      <c r="D652" s="247">
        <f>'Appendix J-2'!S38</f>
        <v>1</v>
      </c>
      <c r="E652" s="23">
        <f t="shared" si="269"/>
        <v>1</v>
      </c>
      <c r="F652" s="247">
        <f>'Appendix J-2'!U38</f>
        <v>1</v>
      </c>
      <c r="G652" s="25">
        <f t="shared" si="270"/>
        <v>5000</v>
      </c>
      <c r="H652" s="248">
        <f>'Appendix J-2'!W38</f>
        <v>5000</v>
      </c>
      <c r="I652" s="688"/>
      <c r="J652" s="205"/>
    </row>
    <row r="653" spans="1:17" x14ac:dyDescent="0.25">
      <c r="A653" s="21">
        <f>A$9</f>
        <v>1528</v>
      </c>
      <c r="B653" s="149">
        <f t="shared" si="271"/>
        <v>2.9649595687331536E-2</v>
      </c>
      <c r="C653" s="52">
        <f t="shared" si="272"/>
        <v>5</v>
      </c>
      <c r="D653" s="247">
        <f>'Appendix J-2'!X38</f>
        <v>2</v>
      </c>
      <c r="E653" s="23">
        <f t="shared" si="269"/>
        <v>1</v>
      </c>
      <c r="F653" s="247">
        <f>'Appendix J-2'!Z38</f>
        <v>2</v>
      </c>
      <c r="G653" s="25">
        <f t="shared" si="270"/>
        <v>5000</v>
      </c>
      <c r="H653" s="248">
        <f>'Appendix J-2'!AB38</f>
        <v>10000</v>
      </c>
      <c r="I653" s="688"/>
      <c r="J653" s="205"/>
    </row>
    <row r="654" spans="1:17" x14ac:dyDescent="0.25">
      <c r="A654" s="21">
        <f>A$10</f>
        <v>1592</v>
      </c>
      <c r="B654" s="149">
        <f t="shared" si="271"/>
        <v>4.1884816753926704E-2</v>
      </c>
      <c r="C654" s="52">
        <f t="shared" si="272"/>
        <v>6</v>
      </c>
      <c r="D654" s="249">
        <f>'Appendix J-2'!AC38</f>
        <v>0</v>
      </c>
      <c r="E654" s="23">
        <f t="shared" si="269"/>
        <v>0</v>
      </c>
      <c r="F654" s="249">
        <f>'Appendix J-2'!AE38</f>
        <v>0</v>
      </c>
      <c r="G654" s="25" t="e">
        <f t="shared" si="270"/>
        <v>#DIV/0!</v>
      </c>
      <c r="H654" s="248">
        <f>'Appendix J-2'!AG38</f>
        <v>0</v>
      </c>
      <c r="I654" s="688"/>
      <c r="J654" s="205"/>
    </row>
    <row r="655" spans="1:17" x14ac:dyDescent="0.25">
      <c r="A655" s="21">
        <f>A$11</f>
        <v>1642</v>
      </c>
      <c r="B655" s="149">
        <f t="shared" si="271"/>
        <v>3.1407035175879394E-2</v>
      </c>
      <c r="C655" s="52">
        <f t="shared" si="272"/>
        <v>7</v>
      </c>
      <c r="D655" s="249">
        <f>'Appendix J-2'!AH38</f>
        <v>1</v>
      </c>
      <c r="E655" s="23">
        <f t="shared" si="269"/>
        <v>1</v>
      </c>
      <c r="F655" s="249">
        <f>'Appendix J-2'!AJ38</f>
        <v>1</v>
      </c>
      <c r="G655" s="25">
        <f t="shared" si="270"/>
        <v>5000</v>
      </c>
      <c r="H655" s="248">
        <f>'Appendix J-2'!AL38</f>
        <v>5000</v>
      </c>
      <c r="I655" s="688"/>
      <c r="J655" s="205"/>
    </row>
    <row r="656" spans="1:17" x14ac:dyDescent="0.25">
      <c r="A656" s="21">
        <f>A$12</f>
        <v>1675</v>
      </c>
      <c r="B656" s="149">
        <f t="shared" si="271"/>
        <v>2.0097442143727162E-2</v>
      </c>
      <c r="C656" s="52">
        <f t="shared" si="272"/>
        <v>8</v>
      </c>
      <c r="D656" s="249">
        <f>'Appendix J-2'!AM38</f>
        <v>0</v>
      </c>
      <c r="E656" s="23">
        <f t="shared" si="269"/>
        <v>0</v>
      </c>
      <c r="F656" s="249">
        <f>'Appendix J-2'!AO38</f>
        <v>0</v>
      </c>
      <c r="G656" s="25" t="e">
        <f t="shared" si="270"/>
        <v>#DIV/0!</v>
      </c>
      <c r="H656" s="248">
        <f>'Appendix J-2'!AQ38</f>
        <v>0</v>
      </c>
      <c r="I656" s="688"/>
      <c r="J656" s="205"/>
    </row>
    <row r="657" spans="1:12" x14ac:dyDescent="0.25">
      <c r="A657" s="21">
        <f>A$13</f>
        <v>1739</v>
      </c>
      <c r="B657" s="149">
        <f t="shared" si="271"/>
        <v>3.8208955223880597E-2</v>
      </c>
      <c r="C657" s="52">
        <f t="shared" si="272"/>
        <v>9</v>
      </c>
      <c r="D657" s="249">
        <f>'Appendix J-2'!AR38</f>
        <v>1</v>
      </c>
      <c r="E657" s="23">
        <f t="shared" si="269"/>
        <v>1</v>
      </c>
      <c r="F657" s="249">
        <f>'Appendix J-2'!AT38</f>
        <v>1</v>
      </c>
      <c r="G657" s="25">
        <f t="shared" si="270"/>
        <v>5000</v>
      </c>
      <c r="H657" s="248">
        <f>'Appendix J-2'!AV38</f>
        <v>5000</v>
      </c>
      <c r="I657" s="688"/>
      <c r="J657" s="205"/>
    </row>
    <row r="658" spans="1:12" x14ac:dyDescent="0.25">
      <c r="A658" s="21">
        <f>A$14</f>
        <v>1752</v>
      </c>
      <c r="B658" s="149">
        <f t="shared" si="271"/>
        <v>7.4755606670500289E-3</v>
      </c>
      <c r="C658" s="52">
        <f t="shared" si="272"/>
        <v>10</v>
      </c>
      <c r="D658" s="21">
        <f>ROUND((TREND($D$649:$D$657,$A$649:$A$657,A658)),0)</f>
        <v>1</v>
      </c>
      <c r="E658" s="22">
        <f>IF(TREND($E$649:$E$657,$C$649:$C$657,C658)&gt;1,TREND($E$649:$E$657,$C$649:$C$657,C658),1)</f>
        <v>1</v>
      </c>
      <c r="F658" s="26">
        <f>D658*E658</f>
        <v>1</v>
      </c>
      <c r="G658" s="25">
        <f>'DDS Rates for Amend'!AJ17</f>
        <v>5000</v>
      </c>
      <c r="H658" s="145">
        <f>F658*G658</f>
        <v>5000</v>
      </c>
      <c r="I658" s="688"/>
      <c r="J658" s="205"/>
    </row>
    <row r="659" spans="1:12" x14ac:dyDescent="0.25">
      <c r="A659" s="21">
        <f>A$15</f>
        <v>1822</v>
      </c>
      <c r="B659" s="149">
        <f t="shared" si="271"/>
        <v>3.9954337899543377E-2</v>
      </c>
      <c r="C659" s="20">
        <f t="shared" si="272"/>
        <v>11</v>
      </c>
      <c r="D659" s="21">
        <f t="shared" ref="D659:D663" si="273">ROUND((TREND($D$649:$D$657,$A$649:$A$657,A659)),0)</f>
        <v>1</v>
      </c>
      <c r="E659" s="22">
        <f t="shared" ref="E659:E663" si="274">IF(TREND($E$649:$E$657,$C$649:$C$657,C659)&gt;1,TREND($E$649:$E$657,$C$649:$C$657,C659),1)</f>
        <v>1</v>
      </c>
      <c r="F659" s="26">
        <f t="shared" ref="F659:F663" si="275">D659*E659</f>
        <v>1</v>
      </c>
      <c r="G659" s="25">
        <f>'DDS Rates for Amend'!AJ18</f>
        <v>5000</v>
      </c>
      <c r="H659" s="145">
        <f t="shared" ref="H659:H663" si="276">F659*G659</f>
        <v>5000</v>
      </c>
      <c r="I659" s="688"/>
      <c r="J659" s="205"/>
    </row>
    <row r="660" spans="1:12" x14ac:dyDescent="0.25">
      <c r="A660" s="21">
        <f>A$16</f>
        <v>1872</v>
      </c>
      <c r="B660" s="149">
        <f t="shared" si="271"/>
        <v>2.7442371020856202E-2</v>
      </c>
      <c r="C660" s="20">
        <f t="shared" si="272"/>
        <v>12</v>
      </c>
      <c r="D660" s="21">
        <f t="shared" si="273"/>
        <v>1</v>
      </c>
      <c r="E660" s="22">
        <f t="shared" si="274"/>
        <v>1</v>
      </c>
      <c r="F660" s="26">
        <f t="shared" si="275"/>
        <v>1</v>
      </c>
      <c r="G660" s="25">
        <f>'DDS Rates for Amend'!AJ19</f>
        <v>5000</v>
      </c>
      <c r="H660" s="145">
        <f t="shared" si="276"/>
        <v>5000</v>
      </c>
      <c r="I660" s="688"/>
      <c r="J660" s="205"/>
    </row>
    <row r="661" spans="1:12" x14ac:dyDescent="0.25">
      <c r="A661" s="21">
        <f>A$17</f>
        <v>1902</v>
      </c>
      <c r="B661" s="149">
        <f t="shared" si="271"/>
        <v>1.6025641025641024E-2</v>
      </c>
      <c r="C661" s="20">
        <f t="shared" si="272"/>
        <v>13</v>
      </c>
      <c r="D661" s="21">
        <f t="shared" si="273"/>
        <v>1</v>
      </c>
      <c r="E661" s="22">
        <f t="shared" si="274"/>
        <v>1</v>
      </c>
      <c r="F661" s="26">
        <f t="shared" si="275"/>
        <v>1</v>
      </c>
      <c r="G661" s="25">
        <f>'DDS Rates for Amend'!AJ20</f>
        <v>5000</v>
      </c>
      <c r="H661" s="145">
        <f t="shared" si="276"/>
        <v>5000</v>
      </c>
      <c r="I661" s="688"/>
      <c r="J661" s="205"/>
    </row>
    <row r="662" spans="1:12" x14ac:dyDescent="0.25">
      <c r="A662" s="21">
        <f>A$18</f>
        <v>1932</v>
      </c>
      <c r="B662" s="149">
        <f t="shared" si="271"/>
        <v>1.5772870662460567E-2</v>
      </c>
      <c r="C662" s="20">
        <f t="shared" si="272"/>
        <v>14</v>
      </c>
      <c r="D662" s="21">
        <f t="shared" si="273"/>
        <v>1</v>
      </c>
      <c r="E662" s="22">
        <f t="shared" si="274"/>
        <v>1</v>
      </c>
      <c r="F662" s="26">
        <f t="shared" si="275"/>
        <v>1</v>
      </c>
      <c r="G662" s="25">
        <f>'DDS Rates for Amend'!AJ21</f>
        <v>5000</v>
      </c>
      <c r="H662" s="145">
        <f t="shared" si="276"/>
        <v>5000</v>
      </c>
      <c r="I662" s="688"/>
      <c r="J662" s="205"/>
    </row>
    <row r="663" spans="1:12" x14ac:dyDescent="0.25">
      <c r="A663" s="21">
        <f>A$19</f>
        <v>1962</v>
      </c>
      <c r="B663" s="149">
        <f t="shared" si="271"/>
        <v>1.5527950310559006E-2</v>
      </c>
      <c r="C663" s="20">
        <f t="shared" si="272"/>
        <v>15</v>
      </c>
      <c r="D663" s="21">
        <f t="shared" si="273"/>
        <v>1</v>
      </c>
      <c r="E663" s="22">
        <f t="shared" si="274"/>
        <v>1</v>
      </c>
      <c r="F663" s="26">
        <f t="shared" si="275"/>
        <v>1</v>
      </c>
      <c r="G663" s="25">
        <f>'DDS Rates for Amend'!AJ22</f>
        <v>5000</v>
      </c>
      <c r="H663" s="145">
        <f t="shared" si="276"/>
        <v>5000</v>
      </c>
      <c r="I663" s="689"/>
      <c r="J663" s="205"/>
      <c r="K663" s="285">
        <f>SUM(H649:H663)</f>
        <v>65000</v>
      </c>
      <c r="L663" s="17">
        <f>IF(K663='Appendix J-2'!CD38,0,error)</f>
        <v>0</v>
      </c>
    </row>
    <row r="664" spans="1:12" x14ac:dyDescent="0.25">
      <c r="A664" s="153"/>
      <c r="B664" s="154"/>
      <c r="C664" s="155"/>
      <c r="D664" s="229"/>
      <c r="E664" s="221"/>
      <c r="F664" s="229"/>
      <c r="G664" s="230"/>
      <c r="H664" s="201"/>
      <c r="I664" s="570"/>
      <c r="J664" s="156"/>
    </row>
    <row r="665" spans="1:12" x14ac:dyDescent="0.25">
      <c r="A665" s="356" t="s">
        <v>0</v>
      </c>
      <c r="B665" s="303"/>
      <c r="C665" s="303"/>
      <c r="D665" s="299" t="str">
        <f>'Appendix J-2'!B39</f>
        <v>Assistance</v>
      </c>
      <c r="E665" s="223" t="str">
        <f>'Appendix J-2'!C39</f>
        <v>15 minutes</v>
      </c>
      <c r="F665" s="690"/>
      <c r="G665" s="690"/>
      <c r="H665" s="690"/>
      <c r="I665" s="687" t="s">
        <v>1141</v>
      </c>
      <c r="J665" s="205"/>
    </row>
    <row r="666" spans="1:12" x14ac:dyDescent="0.25">
      <c r="A666" s="160" t="s">
        <v>26</v>
      </c>
      <c r="B666" s="160" t="s">
        <v>27</v>
      </c>
      <c r="C666" s="146" t="s">
        <v>166</v>
      </c>
      <c r="D666" s="91" t="s">
        <v>154</v>
      </c>
      <c r="E666" s="89" t="s">
        <v>155</v>
      </c>
      <c r="F666" s="34" t="s">
        <v>158</v>
      </c>
      <c r="G666" s="35" t="s">
        <v>156</v>
      </c>
      <c r="H666" s="51" t="s">
        <v>157</v>
      </c>
      <c r="I666" s="688"/>
      <c r="J666" s="205"/>
    </row>
    <row r="667" spans="1:12" ht="15" customHeight="1" x14ac:dyDescent="0.25">
      <c r="A667" s="26">
        <f>A$5</f>
        <v>1182</v>
      </c>
      <c r="B667" s="26"/>
      <c r="C667" s="144">
        <v>1</v>
      </c>
      <c r="D667" s="247">
        <f>'Appendix J-2'!D39</f>
        <v>293</v>
      </c>
      <c r="E667" s="23">
        <f>IF(F667=0,0,F667/D667)</f>
        <v>3169.0204778156995</v>
      </c>
      <c r="F667" s="247">
        <f>'Appendix J-2'!F39</f>
        <v>928523</v>
      </c>
      <c r="G667" s="25">
        <f>H667/F667</f>
        <v>3.9497829348330624</v>
      </c>
      <c r="H667" s="250">
        <f>'Appendix J-2'!H39</f>
        <v>3667464.3</v>
      </c>
      <c r="I667" s="688"/>
      <c r="J667" s="205"/>
    </row>
    <row r="668" spans="1:12" x14ac:dyDescent="0.25">
      <c r="A668" s="26">
        <f>A$6</f>
        <v>1288</v>
      </c>
      <c r="B668" s="161">
        <f>(A668-A667)/A667</f>
        <v>8.9678510998307953E-2</v>
      </c>
      <c r="C668" s="52">
        <v>2</v>
      </c>
      <c r="D668" s="247">
        <f>'Appendix J-2'!I39</f>
        <v>294</v>
      </c>
      <c r="E668" s="23">
        <f t="shared" ref="E668:E675" si="277">IF(F668=0,0,F668/D668)</f>
        <v>3580.0204081632655</v>
      </c>
      <c r="F668" s="247">
        <f>'Appendix J-2'!K39</f>
        <v>1052526</v>
      </c>
      <c r="G668" s="25">
        <f t="shared" ref="G668:G675" si="278">H668/F668</f>
        <v>3.9475268544435007</v>
      </c>
      <c r="H668" s="250">
        <f>'Appendix J-2'!M39</f>
        <v>4154874.65</v>
      </c>
      <c r="I668" s="688"/>
      <c r="J668" s="205"/>
    </row>
    <row r="669" spans="1:12" x14ac:dyDescent="0.25">
      <c r="A669" s="26">
        <f>A$7</f>
        <v>1495</v>
      </c>
      <c r="B669" s="161">
        <f t="shared" ref="B669:B681" si="279">(A669-A668)/A668</f>
        <v>0.16071428571428573</v>
      </c>
      <c r="C669" s="52">
        <v>3</v>
      </c>
      <c r="D669" s="247">
        <f>'Appendix J-2'!N39</f>
        <v>420</v>
      </c>
      <c r="E669" s="23">
        <f t="shared" si="277"/>
        <v>3091.0880952380953</v>
      </c>
      <c r="F669" s="247">
        <f>'Appendix J-2'!P39</f>
        <v>1298257</v>
      </c>
      <c r="G669" s="25">
        <f t="shared" si="278"/>
        <v>3.9460827478688709</v>
      </c>
      <c r="H669" s="248">
        <f>'Appendix J-2'!R39</f>
        <v>5123029.549999997</v>
      </c>
      <c r="I669" s="688"/>
      <c r="J669" s="205"/>
    </row>
    <row r="670" spans="1:12" x14ac:dyDescent="0.25">
      <c r="A670" s="26">
        <f>A$8</f>
        <v>1484</v>
      </c>
      <c r="B670" s="161">
        <f t="shared" si="279"/>
        <v>-7.3578595317725752E-3</v>
      </c>
      <c r="C670" s="52">
        <f t="shared" ref="C670:C681" si="280">C669+1</f>
        <v>4</v>
      </c>
      <c r="D670" s="247">
        <f>'Appendix J-2'!S39</f>
        <v>530</v>
      </c>
      <c r="E670" s="23">
        <f t="shared" si="277"/>
        <v>3150.0698113207545</v>
      </c>
      <c r="F670" s="247">
        <f>'Appendix J-2'!U39</f>
        <v>1669537</v>
      </c>
      <c r="G670" s="25">
        <f t="shared" si="278"/>
        <v>3.9482040410005892</v>
      </c>
      <c r="H670" s="248">
        <f>'Appendix J-2'!W39</f>
        <v>6591672.7300000004</v>
      </c>
      <c r="I670" s="688"/>
      <c r="J670" s="205"/>
    </row>
    <row r="671" spans="1:12" x14ac:dyDescent="0.25">
      <c r="A671" s="26">
        <f>A$9</f>
        <v>1528</v>
      </c>
      <c r="B671" s="161">
        <f t="shared" si="279"/>
        <v>2.9649595687331536E-2</v>
      </c>
      <c r="C671" s="52">
        <f t="shared" si="280"/>
        <v>5</v>
      </c>
      <c r="D671" s="247">
        <f>'Appendix J-2'!X39</f>
        <v>557</v>
      </c>
      <c r="E671" s="23">
        <f t="shared" si="277"/>
        <v>3508.3231597845602</v>
      </c>
      <c r="F671" s="247">
        <f>'Appendix J-2'!Z39</f>
        <v>1954136</v>
      </c>
      <c r="G671" s="25">
        <f t="shared" si="278"/>
        <v>3.949425986727638</v>
      </c>
      <c r="H671" s="248">
        <f>'Appendix J-2'!AB39</f>
        <v>7717715.5</v>
      </c>
      <c r="I671" s="688"/>
      <c r="J671" s="205"/>
    </row>
    <row r="672" spans="1:12" x14ac:dyDescent="0.25">
      <c r="A672" s="26">
        <f>A$10</f>
        <v>1592</v>
      </c>
      <c r="B672" s="161">
        <f t="shared" si="279"/>
        <v>4.1884816753926704E-2</v>
      </c>
      <c r="C672" s="52">
        <f t="shared" si="280"/>
        <v>6</v>
      </c>
      <c r="D672" s="249">
        <f>'Appendix J-2'!AC39</f>
        <v>1373</v>
      </c>
      <c r="E672" s="23">
        <f t="shared" si="277"/>
        <v>1955.2760378732703</v>
      </c>
      <c r="F672" s="249">
        <f>'Appendix J-2'!AE39</f>
        <v>2684594</v>
      </c>
      <c r="G672" s="25">
        <f t="shared" si="278"/>
        <v>3.8190673748060227</v>
      </c>
      <c r="H672" s="248">
        <f>'Appendix J-2'!AG39</f>
        <v>10252645.359999999</v>
      </c>
      <c r="I672" s="688"/>
      <c r="J672" s="205"/>
    </row>
    <row r="673" spans="1:12" x14ac:dyDescent="0.25">
      <c r="A673" s="26">
        <f>A$11</f>
        <v>1642</v>
      </c>
      <c r="B673" s="161">
        <f t="shared" si="279"/>
        <v>3.1407035175879394E-2</v>
      </c>
      <c r="C673" s="52">
        <f>C672+1</f>
        <v>7</v>
      </c>
      <c r="D673" s="249">
        <f>'Appendix J-2'!AH39</f>
        <v>1352</v>
      </c>
      <c r="E673" s="23">
        <f t="shared" si="277"/>
        <v>2220.7204142011833</v>
      </c>
      <c r="F673" s="249">
        <f>'Appendix J-2'!AJ39</f>
        <v>3002414</v>
      </c>
      <c r="G673" s="25">
        <f t="shared" si="278"/>
        <v>3.7995521370470557</v>
      </c>
      <c r="H673" s="248">
        <f>'Appendix J-2'!AL39</f>
        <v>11407828.529999999</v>
      </c>
      <c r="I673" s="688"/>
      <c r="J673" s="205"/>
    </row>
    <row r="674" spans="1:12" x14ac:dyDescent="0.25">
      <c r="A674" s="26">
        <f>A$12</f>
        <v>1675</v>
      </c>
      <c r="B674" s="161">
        <f t="shared" si="279"/>
        <v>2.0097442143727162E-2</v>
      </c>
      <c r="C674" s="52">
        <f t="shared" si="280"/>
        <v>8</v>
      </c>
      <c r="D674" s="249">
        <f>'Appendix J-2'!AM39</f>
        <v>753</v>
      </c>
      <c r="E674" s="23">
        <f t="shared" si="277"/>
        <v>3739.7290836653387</v>
      </c>
      <c r="F674" s="249">
        <f>'Appendix J-2'!AO39</f>
        <v>2816016</v>
      </c>
      <c r="G674" s="25">
        <f t="shared" si="278"/>
        <v>3.8690814114692529</v>
      </c>
      <c r="H674" s="248">
        <f>'Appendix J-2'!AQ39</f>
        <v>10895395.16</v>
      </c>
      <c r="I674" s="688"/>
      <c r="J674" s="205"/>
    </row>
    <row r="675" spans="1:12" x14ac:dyDescent="0.25">
      <c r="A675" s="26">
        <f>A$13</f>
        <v>1739</v>
      </c>
      <c r="B675" s="161">
        <f t="shared" si="279"/>
        <v>3.8208955223880597E-2</v>
      </c>
      <c r="C675" s="52">
        <f t="shared" si="280"/>
        <v>9</v>
      </c>
      <c r="D675" s="249">
        <f>'Appendix J-2'!AR39</f>
        <v>695</v>
      </c>
      <c r="E675" s="23">
        <f t="shared" si="277"/>
        <v>3694.9899280575542</v>
      </c>
      <c r="F675" s="249">
        <f>'Appendix J-2'!AT39</f>
        <v>2568018</v>
      </c>
      <c r="G675" s="25">
        <f t="shared" si="278"/>
        <v>5.2871084392710648</v>
      </c>
      <c r="H675" s="248">
        <f>'Appendix J-2'!AV39</f>
        <v>13577389.640000001</v>
      </c>
      <c r="I675" s="688"/>
      <c r="J675" s="205"/>
    </row>
    <row r="676" spans="1:12" x14ac:dyDescent="0.25">
      <c r="A676" s="26">
        <f>A$14</f>
        <v>1752</v>
      </c>
      <c r="B676" s="161">
        <f t="shared" si="279"/>
        <v>7.4755606670500289E-3</v>
      </c>
      <c r="C676" s="52">
        <f t="shared" si="280"/>
        <v>10</v>
      </c>
      <c r="D676" s="26">
        <v>600</v>
      </c>
      <c r="E676" s="22">
        <f>((30*70%)*4)*52</f>
        <v>4368</v>
      </c>
      <c r="F676" s="26">
        <f>D676*E676</f>
        <v>2620800</v>
      </c>
      <c r="G676" s="25">
        <f>'DDS Rates for Amend'!AK17</f>
        <v>5.49</v>
      </c>
      <c r="H676" s="145">
        <f>F676*G676</f>
        <v>14388192</v>
      </c>
      <c r="I676" s="688"/>
      <c r="J676" s="205"/>
    </row>
    <row r="677" spans="1:12" x14ac:dyDescent="0.25">
      <c r="A677" s="21">
        <f>A$15</f>
        <v>1822</v>
      </c>
      <c r="B677" s="161">
        <f t="shared" si="279"/>
        <v>3.9954337899543377E-2</v>
      </c>
      <c r="C677" s="20">
        <f t="shared" si="280"/>
        <v>11</v>
      </c>
      <c r="D677" s="26">
        <v>550</v>
      </c>
      <c r="E677" s="22">
        <f t="shared" ref="E677:E681" si="281">((30*70%)*4)*52</f>
        <v>4368</v>
      </c>
      <c r="F677" s="26">
        <f t="shared" ref="F677:F681" si="282">D677*E677</f>
        <v>2402400</v>
      </c>
      <c r="G677" s="25">
        <f>'DDS Rates for Amend'!AK18</f>
        <v>5.6327400000000001</v>
      </c>
      <c r="H677" s="145">
        <f t="shared" ref="H677:H681" si="283">F677*G677</f>
        <v>13532094.575999999</v>
      </c>
      <c r="I677" s="688"/>
      <c r="J677" s="205"/>
    </row>
    <row r="678" spans="1:12" x14ac:dyDescent="0.25">
      <c r="A678" s="21">
        <f>A$16</f>
        <v>1872</v>
      </c>
      <c r="B678" s="161">
        <f t="shared" si="279"/>
        <v>2.7442371020856202E-2</v>
      </c>
      <c r="C678" s="20">
        <f t="shared" si="280"/>
        <v>12</v>
      </c>
      <c r="D678" s="26">
        <v>500</v>
      </c>
      <c r="E678" s="22">
        <f t="shared" si="281"/>
        <v>4368</v>
      </c>
      <c r="F678" s="26">
        <f t="shared" si="282"/>
        <v>2184000</v>
      </c>
      <c r="G678" s="25">
        <f>'DDS Rates for Amend'!AK19</f>
        <v>5.7791912400000003</v>
      </c>
      <c r="H678" s="145">
        <f t="shared" si="283"/>
        <v>12621753.668160001</v>
      </c>
      <c r="I678" s="688"/>
      <c r="J678" s="205"/>
    </row>
    <row r="679" spans="1:12" x14ac:dyDescent="0.25">
      <c r="A679" s="21">
        <f>A$17</f>
        <v>1902</v>
      </c>
      <c r="B679" s="161">
        <f t="shared" si="279"/>
        <v>1.6025641025641024E-2</v>
      </c>
      <c r="C679" s="20">
        <f t="shared" si="280"/>
        <v>13</v>
      </c>
      <c r="D679" s="26">
        <f>D678+20</f>
        <v>520</v>
      </c>
      <c r="E679" s="22">
        <f t="shared" si="281"/>
        <v>4368</v>
      </c>
      <c r="F679" s="26">
        <f t="shared" si="282"/>
        <v>2271360</v>
      </c>
      <c r="G679" s="25">
        <f>'DDS Rates for Amend'!AK20</f>
        <v>5.9294502122399999</v>
      </c>
      <c r="H679" s="145">
        <f t="shared" si="283"/>
        <v>13467916.034073446</v>
      </c>
      <c r="I679" s="688"/>
      <c r="J679" s="205"/>
    </row>
    <row r="680" spans="1:12" x14ac:dyDescent="0.25">
      <c r="A680" s="21">
        <f>A$18</f>
        <v>1932</v>
      </c>
      <c r="B680" s="161">
        <f t="shared" si="279"/>
        <v>1.5772870662460567E-2</v>
      </c>
      <c r="C680" s="20">
        <f t="shared" si="280"/>
        <v>14</v>
      </c>
      <c r="D680" s="26">
        <f>D679+20</f>
        <v>540</v>
      </c>
      <c r="E680" s="22">
        <f t="shared" si="281"/>
        <v>4368</v>
      </c>
      <c r="F680" s="26">
        <f t="shared" si="282"/>
        <v>2358720</v>
      </c>
      <c r="G680" s="25">
        <f>'DDS Rates for Amend'!AK21</f>
        <v>6.0836159177582401</v>
      </c>
      <c r="H680" s="145">
        <f t="shared" si="283"/>
        <v>14349546.537534716</v>
      </c>
      <c r="I680" s="688"/>
      <c r="J680" s="205"/>
    </row>
    <row r="681" spans="1:12" x14ac:dyDescent="0.25">
      <c r="A681" s="21">
        <f>A$19</f>
        <v>1962</v>
      </c>
      <c r="B681" s="161">
        <f t="shared" si="279"/>
        <v>1.5527950310559006E-2</v>
      </c>
      <c r="C681" s="20">
        <f t="shared" si="280"/>
        <v>15</v>
      </c>
      <c r="D681" s="26">
        <f>D680+20</f>
        <v>560</v>
      </c>
      <c r="E681" s="22">
        <f t="shared" si="281"/>
        <v>4368</v>
      </c>
      <c r="F681" s="26">
        <f t="shared" si="282"/>
        <v>2446080</v>
      </c>
      <c r="G681" s="25">
        <f>'DDS Rates for Amend'!AK22</f>
        <v>6.2417899316199543</v>
      </c>
      <c r="H681" s="145">
        <f t="shared" si="283"/>
        <v>15267917.515936937</v>
      </c>
      <c r="I681" s="689"/>
      <c r="J681" s="205"/>
      <c r="K681" s="285">
        <f>SUM(H667:H681)</f>
        <v>157015435.75170511</v>
      </c>
      <c r="L681" s="17">
        <f>IF(K681='Appendix J-2'!CD39,0,error)</f>
        <v>0</v>
      </c>
    </row>
    <row r="682" spans="1:12" x14ac:dyDescent="0.25">
      <c r="A682" s="77"/>
      <c r="B682" s="77"/>
      <c r="C682" s="72"/>
      <c r="D682" s="217"/>
      <c r="E682" s="218"/>
      <c r="F682" s="86"/>
      <c r="G682" s="86"/>
      <c r="H682" s="86"/>
      <c r="I682" s="569"/>
      <c r="J682" s="72"/>
    </row>
    <row r="683" spans="1:12" x14ac:dyDescent="0.25">
      <c r="A683" s="304" t="s">
        <v>274</v>
      </c>
      <c r="B683" s="305"/>
      <c r="C683" s="305"/>
      <c r="D683" s="306" t="str">
        <f>'Appendix J-2'!B40</f>
        <v>Assistance</v>
      </c>
      <c r="E683" s="231" t="str">
        <f>'Appendix J-2'!C40</f>
        <v>15 minutes</v>
      </c>
      <c r="F683" s="704"/>
      <c r="G683" s="704"/>
      <c r="H683" s="704"/>
      <c r="I683" s="687" t="s">
        <v>1087</v>
      </c>
      <c r="J683" s="205"/>
    </row>
    <row r="684" spans="1:12" x14ac:dyDescent="0.25">
      <c r="A684" s="160" t="s">
        <v>26</v>
      </c>
      <c r="B684" s="160" t="s">
        <v>27</v>
      </c>
      <c r="C684" s="146" t="s">
        <v>166</v>
      </c>
      <c r="D684" s="91" t="s">
        <v>154</v>
      </c>
      <c r="E684" s="89" t="s">
        <v>155</v>
      </c>
      <c r="F684" s="34" t="s">
        <v>158</v>
      </c>
      <c r="G684" s="35" t="s">
        <v>156</v>
      </c>
      <c r="H684" s="51" t="s">
        <v>157</v>
      </c>
      <c r="I684" s="688"/>
      <c r="J684" s="205"/>
    </row>
    <row r="685" spans="1:12" x14ac:dyDescent="0.25">
      <c r="A685" s="26">
        <f>A$5</f>
        <v>1182</v>
      </c>
      <c r="B685" s="26"/>
      <c r="C685" s="144">
        <v>1</v>
      </c>
      <c r="D685" s="247">
        <f>'Appendix J-2'!D40</f>
        <v>20</v>
      </c>
      <c r="E685" s="23">
        <f>IF(F685=0,0,F685/D685)</f>
        <v>1578.05</v>
      </c>
      <c r="F685" s="247">
        <f>'Appendix J-2'!F40</f>
        <v>31561</v>
      </c>
      <c r="G685" s="25">
        <f>H685/F685</f>
        <v>7.8994201704635474</v>
      </c>
      <c r="H685" s="250">
        <f>'Appendix J-2'!H40</f>
        <v>249313.6</v>
      </c>
      <c r="I685" s="688"/>
      <c r="J685" s="205"/>
    </row>
    <row r="686" spans="1:12" x14ac:dyDescent="0.25">
      <c r="A686" s="26">
        <f>A$6</f>
        <v>1288</v>
      </c>
      <c r="B686" s="161">
        <f>(A686-A685)/A685</f>
        <v>8.9678510998307953E-2</v>
      </c>
      <c r="C686" s="52">
        <v>2</v>
      </c>
      <c r="D686" s="247">
        <f>'Appendix J-2'!I40</f>
        <v>37</v>
      </c>
      <c r="E686" s="23">
        <f t="shared" ref="E686:E693" si="284">IF(F686=0,0,F686/D686)</f>
        <v>3167.8378378378379</v>
      </c>
      <c r="F686" s="247">
        <f>'Appendix J-2'!K40</f>
        <v>117210</v>
      </c>
      <c r="G686" s="25">
        <f t="shared" ref="G686:G693" si="285">H686/F686</f>
        <v>7.7862830816483237</v>
      </c>
      <c r="H686" s="250">
        <f>'Appendix J-2'!M40</f>
        <v>912630.24</v>
      </c>
      <c r="I686" s="688"/>
      <c r="J686" s="205"/>
    </row>
    <row r="687" spans="1:12" x14ac:dyDescent="0.25">
      <c r="A687" s="26">
        <f>A$7</f>
        <v>1495</v>
      </c>
      <c r="B687" s="161">
        <f t="shared" ref="B687:B699" si="286">(A687-A686)/A686</f>
        <v>0.16071428571428573</v>
      </c>
      <c r="C687" s="52">
        <v>3</v>
      </c>
      <c r="D687" s="247">
        <f>'Appendix J-2'!N40</f>
        <v>54</v>
      </c>
      <c r="E687" s="23">
        <f t="shared" si="284"/>
        <v>3198.2407407407409</v>
      </c>
      <c r="F687" s="247">
        <f>'Appendix J-2'!P40</f>
        <v>172705</v>
      </c>
      <c r="G687" s="25">
        <f t="shared" si="285"/>
        <v>7.8587217509626255</v>
      </c>
      <c r="H687" s="248">
        <f>'Appendix J-2'!R40</f>
        <v>1357240.5400000003</v>
      </c>
      <c r="I687" s="688"/>
      <c r="J687" s="205"/>
    </row>
    <row r="688" spans="1:12" x14ac:dyDescent="0.25">
      <c r="A688" s="26">
        <f>A$8</f>
        <v>1484</v>
      </c>
      <c r="B688" s="161">
        <f t="shared" si="286"/>
        <v>-7.3578595317725752E-3</v>
      </c>
      <c r="C688" s="52">
        <f t="shared" ref="C688:C699" si="287">C687+1</f>
        <v>4</v>
      </c>
      <c r="D688" s="247">
        <f>'Appendix J-2'!S40</f>
        <v>69</v>
      </c>
      <c r="E688" s="23">
        <f t="shared" si="284"/>
        <v>3006.1739130434785</v>
      </c>
      <c r="F688" s="247">
        <f>'Appendix J-2'!U40</f>
        <v>207426</v>
      </c>
      <c r="G688" s="25">
        <f t="shared" si="285"/>
        <v>7.747227782438074</v>
      </c>
      <c r="H688" s="248">
        <f>'Appendix J-2'!W40</f>
        <v>1606976.47</v>
      </c>
      <c r="I688" s="688"/>
      <c r="J688" s="205"/>
    </row>
    <row r="689" spans="1:12" x14ac:dyDescent="0.25">
      <c r="A689" s="26">
        <f>A$9</f>
        <v>1528</v>
      </c>
      <c r="B689" s="161">
        <f t="shared" si="286"/>
        <v>2.9649595687331536E-2</v>
      </c>
      <c r="C689" s="52">
        <f t="shared" si="287"/>
        <v>5</v>
      </c>
      <c r="D689" s="247">
        <f>'Appendix J-2'!X40</f>
        <v>75</v>
      </c>
      <c r="E689" s="23">
        <f t="shared" si="284"/>
        <v>3366.56</v>
      </c>
      <c r="F689" s="247">
        <f>'Appendix J-2'!Z40</f>
        <v>252492</v>
      </c>
      <c r="G689" s="25">
        <f t="shared" si="285"/>
        <v>7.6857164583432347</v>
      </c>
      <c r="H689" s="248">
        <f>'Appendix J-2'!AB40</f>
        <v>1940581.92</v>
      </c>
      <c r="I689" s="688"/>
      <c r="J689" s="205"/>
    </row>
    <row r="690" spans="1:12" x14ac:dyDescent="0.25">
      <c r="A690" s="26">
        <f>A$10</f>
        <v>1592</v>
      </c>
      <c r="B690" s="161">
        <f t="shared" si="286"/>
        <v>4.1884816753926704E-2</v>
      </c>
      <c r="C690" s="52">
        <f t="shared" si="287"/>
        <v>6</v>
      </c>
      <c r="D690" s="249">
        <f>'Appendix J-2'!AC40</f>
        <v>165</v>
      </c>
      <c r="E690" s="23">
        <f t="shared" si="284"/>
        <v>1943.6</v>
      </c>
      <c r="F690" s="249">
        <f>'Appendix J-2'!AE40</f>
        <v>320694</v>
      </c>
      <c r="G690" s="25">
        <f t="shared" si="285"/>
        <v>6.7802600921750953</v>
      </c>
      <c r="H690" s="248">
        <f>'Appendix J-2'!AG40</f>
        <v>2174388.73</v>
      </c>
      <c r="I690" s="688"/>
      <c r="J690" s="205"/>
    </row>
    <row r="691" spans="1:12" x14ac:dyDescent="0.25">
      <c r="A691" s="26">
        <f>A$11</f>
        <v>1642</v>
      </c>
      <c r="B691" s="161">
        <f t="shared" si="286"/>
        <v>3.1407035175879394E-2</v>
      </c>
      <c r="C691" s="52">
        <f t="shared" si="287"/>
        <v>7</v>
      </c>
      <c r="D691" s="249">
        <f>'Appendix J-2'!AH40</f>
        <v>186</v>
      </c>
      <c r="E691" s="23">
        <f t="shared" si="284"/>
        <v>2322.5645161290322</v>
      </c>
      <c r="F691" s="249">
        <f>'Appendix J-2'!AJ40</f>
        <v>431997</v>
      </c>
      <c r="G691" s="25">
        <f t="shared" si="285"/>
        <v>6.7163125438371098</v>
      </c>
      <c r="H691" s="248">
        <f>'Appendix J-2'!AL40</f>
        <v>2901426.87</v>
      </c>
      <c r="I691" s="688"/>
      <c r="J691" s="205"/>
    </row>
    <row r="692" spans="1:12" x14ac:dyDescent="0.25">
      <c r="A692" s="26">
        <f>A$12</f>
        <v>1675</v>
      </c>
      <c r="B692" s="161">
        <f t="shared" si="286"/>
        <v>2.0097442143727162E-2</v>
      </c>
      <c r="C692" s="52">
        <f t="shared" si="287"/>
        <v>8</v>
      </c>
      <c r="D692" s="249">
        <f>'Appendix J-2'!AM40</f>
        <v>129</v>
      </c>
      <c r="E692" s="23">
        <f t="shared" si="284"/>
        <v>3824.6666666666665</v>
      </c>
      <c r="F692" s="249">
        <f>'Appendix J-2'!AO40</f>
        <v>493382</v>
      </c>
      <c r="G692" s="25">
        <f t="shared" si="285"/>
        <v>6.8323831432845132</v>
      </c>
      <c r="H692" s="248">
        <f>'Appendix J-2'!AQ40</f>
        <v>3370974.86</v>
      </c>
      <c r="I692" s="688"/>
      <c r="J692" s="205"/>
    </row>
    <row r="693" spans="1:12" x14ac:dyDescent="0.25">
      <c r="A693" s="26">
        <f>A$13</f>
        <v>1739</v>
      </c>
      <c r="B693" s="161">
        <f t="shared" si="286"/>
        <v>3.8208955223880597E-2</v>
      </c>
      <c r="C693" s="52">
        <f t="shared" si="287"/>
        <v>9</v>
      </c>
      <c r="D693" s="249">
        <f>'Appendix J-2'!AR40</f>
        <v>144</v>
      </c>
      <c r="E693" s="23">
        <f t="shared" si="284"/>
        <v>3781</v>
      </c>
      <c r="F693" s="249">
        <f>'Appendix J-2'!AT40</f>
        <v>544464</v>
      </c>
      <c r="G693" s="25">
        <f t="shared" si="285"/>
        <v>9.7816039444297509</v>
      </c>
      <c r="H693" s="248">
        <f>'Appendix J-2'!AV40</f>
        <v>5325731.21</v>
      </c>
      <c r="I693" s="688"/>
      <c r="J693" s="205"/>
    </row>
    <row r="694" spans="1:12" x14ac:dyDescent="0.25">
      <c r="A694" s="26">
        <f>A$14</f>
        <v>1752</v>
      </c>
      <c r="B694" s="161">
        <f t="shared" si="286"/>
        <v>7.4755606670500289E-3</v>
      </c>
      <c r="C694" s="52">
        <f t="shared" si="287"/>
        <v>10</v>
      </c>
      <c r="D694" s="21">
        <f>ROUND(TREND($D$692:$D$693,$A$692:$A$693,A694),0)</f>
        <v>147</v>
      </c>
      <c r="E694" s="22">
        <f>IF(TREND($E$685:$E$693,$C$685:$C$693,C694)&lt;8320,TREND($E$685:$E$693,$C$685:$C$693,C694),8320)</f>
        <v>3573.8848630647162</v>
      </c>
      <c r="F694" s="26">
        <f>D694*E694</f>
        <v>525361.07487051329</v>
      </c>
      <c r="G694" s="25">
        <f>'DDS Rates for Amend'!AL17</f>
        <v>10.39</v>
      </c>
      <c r="H694" s="145">
        <f>F694*G694</f>
        <v>5458501.5679046335</v>
      </c>
      <c r="I694" s="688"/>
      <c r="J694" s="205"/>
    </row>
    <row r="695" spans="1:12" x14ac:dyDescent="0.25">
      <c r="A695" s="21">
        <f>A$15</f>
        <v>1822</v>
      </c>
      <c r="B695" s="161">
        <f t="shared" si="286"/>
        <v>3.9954337899543377E-2</v>
      </c>
      <c r="C695" s="20">
        <f t="shared" si="287"/>
        <v>11</v>
      </c>
      <c r="D695" s="21">
        <f>ROUND((D694*(1+B695)),0)</f>
        <v>153</v>
      </c>
      <c r="E695" s="22">
        <f t="shared" ref="E695:E699" si="288">IF(TREND($E$685:$E$693,$C$685:$C$693,C695)&lt;8320,TREND($E$685:$E$693,$C$685:$C$693,C695),8320)</f>
        <v>3706.6908651350427</v>
      </c>
      <c r="F695" s="26">
        <f t="shared" ref="F695:F699" si="289">D695*E695</f>
        <v>567123.70236566151</v>
      </c>
      <c r="G695" s="25">
        <f>'DDS Rates for Amend'!AL18</f>
        <v>10.66014</v>
      </c>
      <c r="H695" s="145">
        <f t="shared" ref="H695:H699" si="290">F695*G695</f>
        <v>6045618.0645362828</v>
      </c>
      <c r="I695" s="688"/>
      <c r="J695" s="205"/>
    </row>
    <row r="696" spans="1:12" x14ac:dyDescent="0.25">
      <c r="A696" s="21">
        <f>A$16</f>
        <v>1872</v>
      </c>
      <c r="B696" s="161">
        <f t="shared" si="286"/>
        <v>2.7442371020856202E-2</v>
      </c>
      <c r="C696" s="20">
        <f t="shared" si="287"/>
        <v>12</v>
      </c>
      <c r="D696" s="21">
        <f t="shared" ref="D696:D699" si="291">ROUND((D695*(1+B696)),0)</f>
        <v>157</v>
      </c>
      <c r="E696" s="22">
        <f t="shared" si="288"/>
        <v>3839.4968672053692</v>
      </c>
      <c r="F696" s="26">
        <f t="shared" si="289"/>
        <v>602801.00815124298</v>
      </c>
      <c r="G696" s="25">
        <f>'DDS Rates for Amend'!AL19</f>
        <v>10.93730364</v>
      </c>
      <c r="H696" s="145">
        <f t="shared" si="290"/>
        <v>6593017.6606482593</v>
      </c>
      <c r="I696" s="688"/>
      <c r="J696" s="205"/>
    </row>
    <row r="697" spans="1:12" x14ac:dyDescent="0.25">
      <c r="A697" s="21">
        <f>A$17</f>
        <v>1902</v>
      </c>
      <c r="B697" s="161">
        <f t="shared" si="286"/>
        <v>1.6025641025641024E-2</v>
      </c>
      <c r="C697" s="20">
        <f t="shared" si="287"/>
        <v>13</v>
      </c>
      <c r="D697" s="21">
        <f t="shared" si="291"/>
        <v>160</v>
      </c>
      <c r="E697" s="22">
        <f t="shared" si="288"/>
        <v>3972.3028692756957</v>
      </c>
      <c r="F697" s="26">
        <f t="shared" si="289"/>
        <v>635568.45908411127</v>
      </c>
      <c r="G697" s="25">
        <f>'DDS Rates for Amend'!AL20</f>
        <v>11.221673534639999</v>
      </c>
      <c r="H697" s="145">
        <f t="shared" si="290"/>
        <v>7132141.7567560961</v>
      </c>
      <c r="I697" s="688"/>
      <c r="J697" s="205"/>
    </row>
    <row r="698" spans="1:12" x14ac:dyDescent="0.25">
      <c r="A698" s="21">
        <f>A$18</f>
        <v>1932</v>
      </c>
      <c r="B698" s="161">
        <f t="shared" si="286"/>
        <v>1.5772870662460567E-2</v>
      </c>
      <c r="C698" s="20">
        <f t="shared" si="287"/>
        <v>14</v>
      </c>
      <c r="D698" s="21">
        <f t="shared" si="291"/>
        <v>163</v>
      </c>
      <c r="E698" s="22">
        <f t="shared" si="288"/>
        <v>4105.1088713460222</v>
      </c>
      <c r="F698" s="26">
        <f t="shared" si="289"/>
        <v>669132.74602940166</v>
      </c>
      <c r="G698" s="25">
        <f>'DDS Rates for Amend'!AL21</f>
        <v>11.513437046540639</v>
      </c>
      <c r="H698" s="145">
        <f t="shared" si="290"/>
        <v>7704017.7471883819</v>
      </c>
      <c r="I698" s="688"/>
      <c r="J698" s="205"/>
    </row>
    <row r="699" spans="1:12" x14ac:dyDescent="0.25">
      <c r="A699" s="21">
        <f>A$19</f>
        <v>1962</v>
      </c>
      <c r="B699" s="161">
        <f t="shared" si="286"/>
        <v>1.5527950310559006E-2</v>
      </c>
      <c r="C699" s="20">
        <f t="shared" si="287"/>
        <v>15</v>
      </c>
      <c r="D699" s="21">
        <f t="shared" si="291"/>
        <v>166</v>
      </c>
      <c r="E699" s="22">
        <f t="shared" si="288"/>
        <v>4237.9148734163482</v>
      </c>
      <c r="F699" s="26">
        <f t="shared" si="289"/>
        <v>703493.86898711382</v>
      </c>
      <c r="G699" s="25">
        <f>'DDS Rates for Amend'!AL22</f>
        <v>11.812786409750696</v>
      </c>
      <c r="H699" s="145">
        <f t="shared" si="290"/>
        <v>8310222.8149139155</v>
      </c>
      <c r="I699" s="689"/>
      <c r="J699" s="205"/>
      <c r="K699" s="285">
        <f>SUM(H685:H699)</f>
        <v>61082784.051947564</v>
      </c>
      <c r="L699" s="17">
        <f>IF(K699='Appendix J-2'!CD40,0,error)</f>
        <v>0</v>
      </c>
    </row>
    <row r="700" spans="1:12" x14ac:dyDescent="0.25">
      <c r="A700" s="77"/>
      <c r="B700" s="77"/>
      <c r="C700" s="72"/>
      <c r="D700" s="217"/>
      <c r="E700" s="218"/>
      <c r="F700" s="86"/>
      <c r="G700" s="86"/>
      <c r="H700" s="86"/>
      <c r="I700" s="569"/>
      <c r="J700" s="72"/>
    </row>
    <row r="701" spans="1:12" x14ac:dyDescent="0.25">
      <c r="A701" s="356" t="s">
        <v>15</v>
      </c>
      <c r="B701" s="303"/>
      <c r="C701" s="303"/>
      <c r="D701" s="299"/>
      <c r="E701" s="223" t="str">
        <f>'Appendix J-2'!C46</f>
        <v>15 minutes</v>
      </c>
      <c r="F701" s="690"/>
      <c r="G701" s="690"/>
      <c r="H701" s="690"/>
      <c r="I701" s="687" t="s">
        <v>1140</v>
      </c>
      <c r="J701" s="205"/>
    </row>
    <row r="702" spans="1:12" x14ac:dyDescent="0.25">
      <c r="A702" s="160" t="s">
        <v>26</v>
      </c>
      <c r="B702" s="160" t="s">
        <v>27</v>
      </c>
      <c r="C702" s="146" t="s">
        <v>166</v>
      </c>
      <c r="D702" s="91" t="s">
        <v>154</v>
      </c>
      <c r="E702" s="89" t="s">
        <v>155</v>
      </c>
      <c r="F702" s="34" t="s">
        <v>158</v>
      </c>
      <c r="G702" s="35" t="s">
        <v>156</v>
      </c>
      <c r="H702" s="51" t="s">
        <v>157</v>
      </c>
      <c r="I702" s="688"/>
      <c r="J702" s="205"/>
    </row>
    <row r="703" spans="1:12" ht="15" customHeight="1" x14ac:dyDescent="0.25">
      <c r="A703" s="26">
        <f>A$5</f>
        <v>1182</v>
      </c>
      <c r="B703" s="26"/>
      <c r="C703" s="144">
        <v>1</v>
      </c>
      <c r="D703" s="247">
        <f>'Appendix J-2'!D46</f>
        <v>398</v>
      </c>
      <c r="E703" s="23">
        <f>IF(F703=0,0,F703/D703)</f>
        <v>2507.3718592964824</v>
      </c>
      <c r="F703" s="247">
        <f>'Appendix J-2'!F46</f>
        <v>997934</v>
      </c>
      <c r="G703" s="25">
        <f>H703/F703</f>
        <v>3.9310936695212306</v>
      </c>
      <c r="H703" s="250">
        <f>'Appendix J-2'!H46</f>
        <v>3922972.03</v>
      </c>
      <c r="I703" s="688"/>
      <c r="J703" s="205"/>
    </row>
    <row r="704" spans="1:12" x14ac:dyDescent="0.25">
      <c r="A704" s="26">
        <f>A$6</f>
        <v>1288</v>
      </c>
      <c r="B704" s="161">
        <f>(A704-A703)/A703</f>
        <v>8.9678510998307953E-2</v>
      </c>
      <c r="C704" s="52">
        <v>2</v>
      </c>
      <c r="D704" s="247">
        <f>'Appendix J-2'!I46</f>
        <v>423</v>
      </c>
      <c r="E704" s="23">
        <f t="shared" ref="E704:E711" si="292">IF(F704=0,0,F704/D704)</f>
        <v>3240.078014184397</v>
      </c>
      <c r="F704" s="247">
        <f>'Appendix J-2'!K46</f>
        <v>1370553</v>
      </c>
      <c r="G704" s="25">
        <f t="shared" ref="G704:G711" si="293">H704/F704</f>
        <v>3.9175328206935451</v>
      </c>
      <c r="H704" s="250">
        <f>'Appendix J-2'!M46</f>
        <v>5369186.3600000003</v>
      </c>
      <c r="I704" s="688"/>
      <c r="J704" s="205"/>
    </row>
    <row r="705" spans="1:12" x14ac:dyDescent="0.25">
      <c r="A705" s="26">
        <f>A$7</f>
        <v>1495</v>
      </c>
      <c r="B705" s="161">
        <f t="shared" ref="B705:B717" si="294">(A705-A704)/A704</f>
        <v>0.16071428571428573</v>
      </c>
      <c r="C705" s="52">
        <v>3</v>
      </c>
      <c r="D705" s="247">
        <f>'Appendix J-2'!N46</f>
        <v>436</v>
      </c>
      <c r="E705" s="23">
        <f t="shared" si="292"/>
        <v>3145.7087155963304</v>
      </c>
      <c r="F705" s="247">
        <f>'Appendix J-2'!P46</f>
        <v>1371529</v>
      </c>
      <c r="G705" s="25">
        <f t="shared" si="293"/>
        <v>3.9484665143792075</v>
      </c>
      <c r="H705" s="248">
        <f>'Appendix J-2'!R46</f>
        <v>5415436.3300000001</v>
      </c>
      <c r="I705" s="688"/>
      <c r="J705" s="205"/>
    </row>
    <row r="706" spans="1:12" x14ac:dyDescent="0.25">
      <c r="A706" s="26">
        <f>A$8</f>
        <v>1484</v>
      </c>
      <c r="B706" s="161">
        <f t="shared" si="294"/>
        <v>-7.3578595317725752E-3</v>
      </c>
      <c r="C706" s="52">
        <f t="shared" ref="C706:C717" si="295">C705+1</f>
        <v>4</v>
      </c>
      <c r="D706" s="247">
        <f>'Appendix J-2'!S46</f>
        <v>472</v>
      </c>
      <c r="E706" s="23">
        <f t="shared" si="292"/>
        <v>2939.1868644067795</v>
      </c>
      <c r="F706" s="247">
        <f>'Appendix J-2'!U46</f>
        <v>1387296.2</v>
      </c>
      <c r="G706" s="25">
        <f t="shared" si="293"/>
        <v>3.9487367297625409</v>
      </c>
      <c r="H706" s="248">
        <f>'Appendix J-2'!W46</f>
        <v>5478067.46</v>
      </c>
      <c r="I706" s="688"/>
      <c r="J706" s="205"/>
    </row>
    <row r="707" spans="1:12" x14ac:dyDescent="0.25">
      <c r="A707" s="26">
        <f>A$9</f>
        <v>1528</v>
      </c>
      <c r="B707" s="161">
        <f t="shared" si="294"/>
        <v>2.9649595687331536E-2</v>
      </c>
      <c r="C707" s="52">
        <f t="shared" si="295"/>
        <v>5</v>
      </c>
      <c r="D707" s="247">
        <f>'Appendix J-2'!X46</f>
        <v>517</v>
      </c>
      <c r="E707" s="23">
        <f t="shared" si="292"/>
        <v>3057.0387040618957</v>
      </c>
      <c r="F707" s="247">
        <f>'Appendix J-2'!Z46</f>
        <v>1580489.01</v>
      </c>
      <c r="G707" s="25">
        <f t="shared" si="293"/>
        <v>3.9467328975606097</v>
      </c>
      <c r="H707" s="248">
        <f>'Appendix J-2'!AB46</f>
        <v>6237767.9699999997</v>
      </c>
      <c r="I707" s="688"/>
      <c r="J707" s="205"/>
    </row>
    <row r="708" spans="1:12" x14ac:dyDescent="0.25">
      <c r="A708" s="26">
        <f>A$10</f>
        <v>1592</v>
      </c>
      <c r="B708" s="161">
        <f t="shared" si="294"/>
        <v>4.1884816753926704E-2</v>
      </c>
      <c r="C708" s="52">
        <f t="shared" si="295"/>
        <v>6</v>
      </c>
      <c r="D708" s="249">
        <f>'Appendix J-2'!AC46</f>
        <v>356</v>
      </c>
      <c r="E708" s="23">
        <f t="shared" si="292"/>
        <v>632.68258426966293</v>
      </c>
      <c r="F708" s="249">
        <f>'Appendix J-2'!AE46</f>
        <v>225235</v>
      </c>
      <c r="G708" s="25">
        <f t="shared" si="293"/>
        <v>3.9056213732324019</v>
      </c>
      <c r="H708" s="248">
        <f>'Appendix J-2'!AG46</f>
        <v>879682.63</v>
      </c>
      <c r="I708" s="688"/>
      <c r="J708" s="205"/>
    </row>
    <row r="709" spans="1:12" x14ac:dyDescent="0.25">
      <c r="A709" s="26">
        <f>A$11</f>
        <v>1642</v>
      </c>
      <c r="B709" s="161">
        <f t="shared" si="294"/>
        <v>3.1407035175879394E-2</v>
      </c>
      <c r="C709" s="52">
        <f t="shared" si="295"/>
        <v>7</v>
      </c>
      <c r="D709" s="249">
        <f>'Appendix J-2'!AH46</f>
        <v>465</v>
      </c>
      <c r="E709" s="23">
        <f t="shared" si="292"/>
        <v>2148.574193548387</v>
      </c>
      <c r="F709" s="249">
        <f>'Appendix J-2'!AJ46</f>
        <v>999087</v>
      </c>
      <c r="G709" s="25">
        <f t="shared" si="293"/>
        <v>3.7993966291223886</v>
      </c>
      <c r="H709" s="248">
        <f>'Appendix J-2'!AL46</f>
        <v>3795927.78</v>
      </c>
      <c r="I709" s="688"/>
      <c r="J709" s="205"/>
    </row>
    <row r="710" spans="1:12" x14ac:dyDescent="0.25">
      <c r="A710" s="26">
        <f>A$12</f>
        <v>1675</v>
      </c>
      <c r="B710" s="161">
        <f t="shared" si="294"/>
        <v>2.0097442143727162E-2</v>
      </c>
      <c r="C710" s="52">
        <f t="shared" si="295"/>
        <v>8</v>
      </c>
      <c r="D710" s="249">
        <f>'Appendix J-2'!AM46</f>
        <v>486</v>
      </c>
      <c r="E710" s="23">
        <f t="shared" si="292"/>
        <v>2680.7222222222222</v>
      </c>
      <c r="F710" s="249">
        <f>'Appendix J-2'!AO46</f>
        <v>1302831</v>
      </c>
      <c r="G710" s="25">
        <f t="shared" si="293"/>
        <v>3.8485532736018713</v>
      </c>
      <c r="H710" s="248">
        <f>'Appendix J-2'!AQ46</f>
        <v>5014014.51</v>
      </c>
      <c r="I710" s="688"/>
      <c r="J710" s="205"/>
    </row>
    <row r="711" spans="1:12" x14ac:dyDescent="0.25">
      <c r="A711" s="26">
        <f>A$13</f>
        <v>1739</v>
      </c>
      <c r="B711" s="161">
        <f t="shared" si="294"/>
        <v>3.8208955223880597E-2</v>
      </c>
      <c r="C711" s="52">
        <f t="shared" si="295"/>
        <v>9</v>
      </c>
      <c r="D711" s="249">
        <f>'Appendix J-2'!AR46</f>
        <v>482</v>
      </c>
      <c r="E711" s="23">
        <f t="shared" si="292"/>
        <v>2643.1244813278008</v>
      </c>
      <c r="F711" s="249">
        <f>'Appendix J-2'!AT46</f>
        <v>1273986</v>
      </c>
      <c r="G711" s="25">
        <f t="shared" si="293"/>
        <v>4.5801882830737544</v>
      </c>
      <c r="H711" s="248">
        <f>'Appendix J-2'!AV46</f>
        <v>5835095.75</v>
      </c>
      <c r="I711" s="688"/>
      <c r="J711" s="205"/>
    </row>
    <row r="712" spans="1:12" x14ac:dyDescent="0.25">
      <c r="A712" s="26">
        <f>A$14</f>
        <v>1752</v>
      </c>
      <c r="B712" s="161">
        <f t="shared" si="294"/>
        <v>7.4755606670500289E-3</v>
      </c>
      <c r="C712" s="52">
        <f t="shared" si="295"/>
        <v>10</v>
      </c>
      <c r="D712" s="26">
        <f>ROUND((TREND($D$703:$D$711,$A$703:$A$711,A712)),0)</f>
        <v>477</v>
      </c>
      <c r="E712" s="22">
        <f>IF(TREND($E$703:$E$711,$C$703:$C$711,C712)&lt;8320,TREND($E$703:$E$711,$C$703:$C$711,C712),8320)</f>
        <v>2101.9572199909189</v>
      </c>
      <c r="F712" s="26">
        <f>D712*E712</f>
        <v>1002633.5939356684</v>
      </c>
      <c r="G712" s="25">
        <f>'DDS Rates for Amend'!AN17</f>
        <v>4.7300000000000004</v>
      </c>
      <c r="H712" s="145">
        <f>F712*G712</f>
        <v>4742456.899315712</v>
      </c>
      <c r="I712" s="688"/>
      <c r="J712" s="205"/>
    </row>
    <row r="713" spans="1:12" x14ac:dyDescent="0.25">
      <c r="A713" s="21">
        <f>A$15</f>
        <v>1822</v>
      </c>
      <c r="B713" s="161">
        <f t="shared" si="294"/>
        <v>3.9954337899543377E-2</v>
      </c>
      <c r="C713" s="20">
        <f t="shared" si="295"/>
        <v>11</v>
      </c>
      <c r="D713" s="26">
        <f>430+90+40</f>
        <v>560</v>
      </c>
      <c r="E713" s="22">
        <f t="shared" ref="E713:E717" si="296">IF(TREND($E$703:$E$711,$C$703:$C$711,C713)&lt;8320,TREND($E$703:$E$711,$C$703:$C$711,C713),8320)</f>
        <v>2011.3600497910147</v>
      </c>
      <c r="F713" s="26">
        <f t="shared" ref="F713:F717" si="297">D713*E713</f>
        <v>1126361.6278829682</v>
      </c>
      <c r="G713" s="25">
        <f>'DDS Rates for Amend'!AN18</f>
        <v>4.8529800000000005</v>
      </c>
      <c r="H713" s="145">
        <f t="shared" ref="H713:H717" si="298">F713*G713</f>
        <v>5466210.4528834876</v>
      </c>
      <c r="I713" s="688"/>
      <c r="J713" s="205"/>
    </row>
    <row r="714" spans="1:12" x14ac:dyDescent="0.25">
      <c r="A714" s="21">
        <f>A$16</f>
        <v>1872</v>
      </c>
      <c r="B714" s="161">
        <f t="shared" si="294"/>
        <v>2.7442371020856202E-2</v>
      </c>
      <c r="C714" s="20">
        <f t="shared" si="295"/>
        <v>12</v>
      </c>
      <c r="D714" s="26">
        <f>D713+40</f>
        <v>600</v>
      </c>
      <c r="E714" s="22">
        <f t="shared" si="296"/>
        <v>1920.7628795911103</v>
      </c>
      <c r="F714" s="26">
        <f t="shared" si="297"/>
        <v>1152457.7277546662</v>
      </c>
      <c r="G714" s="25">
        <f>'DDS Rates for Amend'!AN19</f>
        <v>4.9791574800000005</v>
      </c>
      <c r="H714" s="145">
        <f t="shared" si="298"/>
        <v>5738268.515533451</v>
      </c>
      <c r="I714" s="688"/>
      <c r="J714" s="205"/>
    </row>
    <row r="715" spans="1:12" x14ac:dyDescent="0.25">
      <c r="A715" s="21">
        <f>A$17</f>
        <v>1902</v>
      </c>
      <c r="B715" s="161">
        <f t="shared" si="294"/>
        <v>1.6025641025641024E-2</v>
      </c>
      <c r="C715" s="20">
        <f t="shared" si="295"/>
        <v>13</v>
      </c>
      <c r="D715" s="26">
        <f>D714/2</f>
        <v>300</v>
      </c>
      <c r="E715" s="22">
        <f t="shared" si="296"/>
        <v>1830.1657093912061</v>
      </c>
      <c r="F715" s="26">
        <f t="shared" si="297"/>
        <v>549049.71281736181</v>
      </c>
      <c r="G715" s="25">
        <f>'DDS Rates for Amend'!AN20</f>
        <v>5.1086155744800008</v>
      </c>
      <c r="H715" s="145">
        <f t="shared" si="298"/>
        <v>2804883.9140625461</v>
      </c>
      <c r="I715" s="688"/>
      <c r="J715" s="205"/>
    </row>
    <row r="716" spans="1:12" x14ac:dyDescent="0.25">
      <c r="A716" s="21">
        <f>A$18</f>
        <v>1932</v>
      </c>
      <c r="B716" s="161">
        <f t="shared" si="294"/>
        <v>1.5772870662460567E-2</v>
      </c>
      <c r="C716" s="20">
        <f t="shared" si="295"/>
        <v>14</v>
      </c>
      <c r="D716" s="26">
        <f>D715/2</f>
        <v>150</v>
      </c>
      <c r="E716" s="22">
        <f t="shared" si="296"/>
        <v>1739.5685391913019</v>
      </c>
      <c r="F716" s="26">
        <f t="shared" si="297"/>
        <v>260935.28087869528</v>
      </c>
      <c r="G716" s="25">
        <f>'DDS Rates for Amend'!AN21</f>
        <v>5.2414395794164808</v>
      </c>
      <c r="H716" s="145">
        <f t="shared" si="298"/>
        <v>1367676.5088637499</v>
      </c>
      <c r="I716" s="688"/>
      <c r="J716" s="205"/>
    </row>
    <row r="717" spans="1:12" x14ac:dyDescent="0.25">
      <c r="A717" s="21">
        <f>A$19</f>
        <v>1962</v>
      </c>
      <c r="B717" s="161">
        <f t="shared" si="294"/>
        <v>1.5527950310559006E-2</v>
      </c>
      <c r="C717" s="20">
        <f t="shared" si="295"/>
        <v>15</v>
      </c>
      <c r="D717" s="26">
        <f>D716</f>
        <v>150</v>
      </c>
      <c r="E717" s="22">
        <f t="shared" si="296"/>
        <v>1648.9713689913976</v>
      </c>
      <c r="F717" s="26">
        <f t="shared" si="297"/>
        <v>247345.70534870966</v>
      </c>
      <c r="G717" s="25">
        <f>'DDS Rates for Amend'!AN22</f>
        <v>5.3777170084813095</v>
      </c>
      <c r="H717" s="145">
        <f t="shared" si="298"/>
        <v>1330155.2066285624</v>
      </c>
      <c r="I717" s="689"/>
      <c r="J717" s="205"/>
      <c r="K717" s="285">
        <f>SUM(H703:H717)</f>
        <v>63397802.317287505</v>
      </c>
      <c r="L717" s="17">
        <f>IF(K717='Appendix J-2'!CD46,0,error)</f>
        <v>0</v>
      </c>
    </row>
    <row r="718" spans="1:12" x14ac:dyDescent="0.25">
      <c r="C718"/>
      <c r="I718" s="568"/>
      <c r="J718"/>
    </row>
    <row r="719" spans="1:12" ht="15" customHeight="1" x14ac:dyDescent="0.25">
      <c r="A719" s="271" t="s">
        <v>57</v>
      </c>
      <c r="B719" s="272"/>
      <c r="C719" s="272"/>
      <c r="D719" s="292" t="str">
        <f>'Appendix J-2'!B47</f>
        <v>Assessment</v>
      </c>
      <c r="E719" s="223" t="str">
        <f>'Appendix J-2'!C47</f>
        <v>15 minutes</v>
      </c>
      <c r="F719" s="690"/>
      <c r="G719" s="690"/>
      <c r="H719" s="690"/>
      <c r="I719" s="687" t="s">
        <v>1086</v>
      </c>
      <c r="J719" s="205"/>
    </row>
    <row r="720" spans="1:12" x14ac:dyDescent="0.25">
      <c r="A720" s="147" t="s">
        <v>26</v>
      </c>
      <c r="B720" s="147" t="s">
        <v>27</v>
      </c>
      <c r="C720" s="50" t="s">
        <v>166</v>
      </c>
      <c r="D720" s="91" t="s">
        <v>154</v>
      </c>
      <c r="E720" s="89" t="s">
        <v>155</v>
      </c>
      <c r="F720" s="34" t="s">
        <v>158</v>
      </c>
      <c r="G720" s="35" t="s">
        <v>156</v>
      </c>
      <c r="H720" s="51" t="s">
        <v>157</v>
      </c>
      <c r="I720" s="688"/>
      <c r="J720" s="205"/>
    </row>
    <row r="721" spans="1:12" ht="15" customHeight="1" x14ac:dyDescent="0.25">
      <c r="A721" s="21">
        <f>A$5</f>
        <v>1182</v>
      </c>
      <c r="B721" s="148"/>
      <c r="C721" s="144">
        <v>1</v>
      </c>
      <c r="D721" s="247">
        <f>'Appendix J-2'!D47</f>
        <v>80</v>
      </c>
      <c r="E721" s="23">
        <f t="shared" ref="E721:E729" si="299">IF(F721=0,0,F721/D721)</f>
        <v>1068.5999999999999</v>
      </c>
      <c r="F721" s="247">
        <f>'Appendix J-2'!F47</f>
        <v>85488</v>
      </c>
      <c r="G721" s="25">
        <f t="shared" ref="G721:G729" si="300">H721/F721</f>
        <v>10.126406981096762</v>
      </c>
      <c r="H721" s="250">
        <f>'Appendix J-2'!H47</f>
        <v>865686.28</v>
      </c>
      <c r="I721" s="688"/>
      <c r="J721" s="205"/>
    </row>
    <row r="722" spans="1:12" x14ac:dyDescent="0.25">
      <c r="A722" s="21">
        <f>A$6</f>
        <v>1288</v>
      </c>
      <c r="B722" s="149">
        <f>(A722-A721)/A721</f>
        <v>8.9678510998307953E-2</v>
      </c>
      <c r="C722" s="52">
        <v>2</v>
      </c>
      <c r="D722" s="247">
        <f>'Appendix J-2'!I47</f>
        <v>90</v>
      </c>
      <c r="E722" s="23">
        <f t="shared" si="299"/>
        <v>1654.8777777777777</v>
      </c>
      <c r="F722" s="247">
        <f>'Appendix J-2'!K47</f>
        <v>148939</v>
      </c>
      <c r="G722" s="25">
        <f t="shared" si="300"/>
        <v>10.367186499170803</v>
      </c>
      <c r="H722" s="250">
        <f>'Appendix J-2'!M47</f>
        <v>1544078.3900000001</v>
      </c>
      <c r="I722" s="688"/>
      <c r="J722" s="205"/>
    </row>
    <row r="723" spans="1:12" x14ac:dyDescent="0.25">
      <c r="A723" s="21">
        <f>A$7</f>
        <v>1495</v>
      </c>
      <c r="B723" s="149">
        <f t="shared" ref="B723:B735" si="301">(A723-A722)/A722</f>
        <v>0.16071428571428573</v>
      </c>
      <c r="C723" s="52">
        <v>3</v>
      </c>
      <c r="D723" s="247">
        <f>'Appendix J-2'!N47</f>
        <v>79</v>
      </c>
      <c r="E723" s="23">
        <f t="shared" si="299"/>
        <v>1554.8354430379748</v>
      </c>
      <c r="F723" s="247">
        <f>'Appendix J-2'!P47</f>
        <v>122832</v>
      </c>
      <c r="G723" s="25">
        <f t="shared" si="300"/>
        <v>10.634712941253092</v>
      </c>
      <c r="H723" s="248">
        <f>'Appendix J-2'!R47</f>
        <v>1306283.0599999998</v>
      </c>
      <c r="I723" s="688"/>
      <c r="J723" s="205"/>
    </row>
    <row r="724" spans="1:12" x14ac:dyDescent="0.25">
      <c r="A724" s="21">
        <f>A$8</f>
        <v>1484</v>
      </c>
      <c r="B724" s="149">
        <f t="shared" si="301"/>
        <v>-7.3578595317725752E-3</v>
      </c>
      <c r="C724" s="52">
        <f t="shared" ref="C724:C735" si="302">C723+1</f>
        <v>4</v>
      </c>
      <c r="D724" s="247">
        <f>'Appendix J-2'!S47</f>
        <v>56</v>
      </c>
      <c r="E724" s="23">
        <f t="shared" si="299"/>
        <v>1410.0714285714287</v>
      </c>
      <c r="F724" s="247">
        <f>'Appendix J-2'!U47</f>
        <v>78964</v>
      </c>
      <c r="G724" s="25">
        <f t="shared" si="300"/>
        <v>10.598131806899346</v>
      </c>
      <c r="H724" s="248">
        <f>'Appendix J-2'!W47</f>
        <v>836870.88</v>
      </c>
      <c r="I724" s="688"/>
      <c r="J724" s="205"/>
    </row>
    <row r="725" spans="1:12" x14ac:dyDescent="0.25">
      <c r="A725" s="21">
        <f>A$9</f>
        <v>1528</v>
      </c>
      <c r="B725" s="149">
        <f t="shared" si="301"/>
        <v>2.9649595687331536E-2</v>
      </c>
      <c r="C725" s="52">
        <f t="shared" si="302"/>
        <v>5</v>
      </c>
      <c r="D725" s="247">
        <f>'Appendix J-2'!X47</f>
        <v>15</v>
      </c>
      <c r="E725" s="23">
        <f t="shared" si="299"/>
        <v>275.13333333333333</v>
      </c>
      <c r="F725" s="247">
        <f>'Appendix J-2'!Z47</f>
        <v>4127</v>
      </c>
      <c r="G725" s="25">
        <f t="shared" si="300"/>
        <v>10.701228495275018</v>
      </c>
      <c r="H725" s="248">
        <f>'Appendix J-2'!AB47</f>
        <v>44163.97</v>
      </c>
      <c r="I725" s="688"/>
      <c r="J725" s="205"/>
    </row>
    <row r="726" spans="1:12" x14ac:dyDescent="0.25">
      <c r="A726" s="21">
        <f>A$10</f>
        <v>1592</v>
      </c>
      <c r="B726" s="149">
        <f t="shared" si="301"/>
        <v>4.1884816753926704E-2</v>
      </c>
      <c r="C726" s="52">
        <f t="shared" si="302"/>
        <v>6</v>
      </c>
      <c r="D726" s="249">
        <f>'Appendix J-2'!AC47</f>
        <v>9</v>
      </c>
      <c r="E726" s="23">
        <f t="shared" si="299"/>
        <v>209.66666666666666</v>
      </c>
      <c r="F726" s="249">
        <f>'Appendix J-2'!AE47</f>
        <v>1887</v>
      </c>
      <c r="G726" s="25">
        <f t="shared" si="300"/>
        <v>10.670339162692104</v>
      </c>
      <c r="H726" s="248">
        <f>'Appendix J-2'!AG47</f>
        <v>20134.93</v>
      </c>
      <c r="I726" s="688"/>
      <c r="J726" s="205"/>
    </row>
    <row r="727" spans="1:12" x14ac:dyDescent="0.25">
      <c r="A727" s="21">
        <f>A$11</f>
        <v>1642</v>
      </c>
      <c r="B727" s="149">
        <f t="shared" si="301"/>
        <v>3.1407035175879394E-2</v>
      </c>
      <c r="C727" s="20">
        <f t="shared" si="302"/>
        <v>7</v>
      </c>
      <c r="D727" s="249">
        <f>'Appendix J-2'!AH47</f>
        <v>9</v>
      </c>
      <c r="E727" s="23">
        <f t="shared" si="299"/>
        <v>148.44444444444446</v>
      </c>
      <c r="F727" s="249">
        <f>'Appendix J-2'!AJ47</f>
        <v>1336</v>
      </c>
      <c r="G727" s="25">
        <f t="shared" si="300"/>
        <v>10.393502994011977</v>
      </c>
      <c r="H727" s="248">
        <f>'Appendix J-2'!AL47</f>
        <v>13885.720000000001</v>
      </c>
      <c r="I727" s="688"/>
      <c r="J727" s="205"/>
    </row>
    <row r="728" spans="1:12" x14ac:dyDescent="0.25">
      <c r="A728" s="21">
        <f>A$12</f>
        <v>1675</v>
      </c>
      <c r="B728" s="149">
        <f t="shared" si="301"/>
        <v>2.0097442143727162E-2</v>
      </c>
      <c r="C728" s="20">
        <f t="shared" si="302"/>
        <v>8</v>
      </c>
      <c r="D728" s="249">
        <f>'Appendix J-2'!AM47</f>
        <v>6</v>
      </c>
      <c r="E728" s="23">
        <f t="shared" si="299"/>
        <v>224.66666666666666</v>
      </c>
      <c r="F728" s="249">
        <f>'Appendix J-2'!AO47</f>
        <v>1348</v>
      </c>
      <c r="G728" s="25">
        <f t="shared" si="300"/>
        <v>9.7942729970326408</v>
      </c>
      <c r="H728" s="248">
        <f>'Appendix J-2'!AQ47</f>
        <v>13202.68</v>
      </c>
      <c r="I728" s="688"/>
      <c r="J728" s="205"/>
    </row>
    <row r="729" spans="1:12" x14ac:dyDescent="0.25">
      <c r="A729" s="21">
        <f>A$13</f>
        <v>1739</v>
      </c>
      <c r="B729" s="149">
        <f t="shared" si="301"/>
        <v>3.8208955223880597E-2</v>
      </c>
      <c r="C729" s="20">
        <f t="shared" si="302"/>
        <v>9</v>
      </c>
      <c r="D729" s="249">
        <f>'Appendix J-2'!AR47</f>
        <v>7</v>
      </c>
      <c r="E729" s="23">
        <f t="shared" si="299"/>
        <v>136.71428571428572</v>
      </c>
      <c r="F729" s="249">
        <f>'Appendix J-2'!AT47</f>
        <v>957</v>
      </c>
      <c r="G729" s="25">
        <f t="shared" si="300"/>
        <v>11.432142110762801</v>
      </c>
      <c r="H729" s="248">
        <f>'Appendix J-2'!AV47</f>
        <v>10940.56</v>
      </c>
      <c r="I729" s="688"/>
      <c r="J729" s="205"/>
    </row>
    <row r="730" spans="1:12" x14ac:dyDescent="0.25">
      <c r="A730" s="21">
        <f>A$14</f>
        <v>1752</v>
      </c>
      <c r="B730" s="149">
        <f t="shared" si="301"/>
        <v>7.4755606670500289E-3</v>
      </c>
      <c r="C730" s="20">
        <f t="shared" si="302"/>
        <v>10</v>
      </c>
      <c r="D730" s="21">
        <f>ROUND(AVERAGE($D$728:$D$729),0)</f>
        <v>7</v>
      </c>
      <c r="E730" s="22">
        <f>IF(TREND($E$727:$E$729,$C$727:$C$729,C730)&lt;320,TREND($E$727:$E$729,$C$727:$C$729,C730),320)</f>
        <v>158.2116402116402</v>
      </c>
      <c r="F730" s="21">
        <f>D730*E730</f>
        <v>1107.4814814814813</v>
      </c>
      <c r="G730" s="24">
        <f>'DDS Rates for Amend'!AO17</f>
        <v>11.98</v>
      </c>
      <c r="H730" s="33">
        <f>F730*G730</f>
        <v>13267.628148148146</v>
      </c>
      <c r="I730" s="688"/>
      <c r="J730" s="205"/>
    </row>
    <row r="731" spans="1:12" x14ac:dyDescent="0.25">
      <c r="A731" s="21">
        <f>A$15</f>
        <v>1822</v>
      </c>
      <c r="B731" s="149">
        <f t="shared" si="301"/>
        <v>3.9954337899543377E-2</v>
      </c>
      <c r="C731" s="20">
        <f t="shared" si="302"/>
        <v>11</v>
      </c>
      <c r="D731" s="21">
        <f t="shared" ref="D731:D735" si="303">ROUND(AVERAGE($D$728:$D$729),0)</f>
        <v>7</v>
      </c>
      <c r="E731" s="22">
        <f t="shared" ref="E731:E735" si="304">IF(TREND($E$727:$E$729,$C$727:$C$729,C731)&lt;320,TREND($E$727:$E$729,$C$727:$C$729,C731),320)</f>
        <v>152.34656084656086</v>
      </c>
      <c r="F731" s="21">
        <f t="shared" ref="F731:F735" si="305">D731*E731</f>
        <v>1066.4259259259261</v>
      </c>
      <c r="G731" s="24">
        <f>'DDS Rates for Amend'!AO18</f>
        <v>12.61</v>
      </c>
      <c r="H731" s="33">
        <f t="shared" ref="H731:H735" si="306">F731*G731</f>
        <v>13447.630925925927</v>
      </c>
      <c r="I731" s="688"/>
      <c r="J731" s="205"/>
    </row>
    <row r="732" spans="1:12" x14ac:dyDescent="0.25">
      <c r="A732" s="21">
        <f>A$16</f>
        <v>1872</v>
      </c>
      <c r="B732" s="149">
        <f t="shared" si="301"/>
        <v>2.7442371020856202E-2</v>
      </c>
      <c r="C732" s="20">
        <f t="shared" si="302"/>
        <v>12</v>
      </c>
      <c r="D732" s="21">
        <f t="shared" si="303"/>
        <v>7</v>
      </c>
      <c r="E732" s="22">
        <f t="shared" si="304"/>
        <v>146.48148148148147</v>
      </c>
      <c r="F732" s="21">
        <f t="shared" si="305"/>
        <v>1025.3703703703702</v>
      </c>
      <c r="G732" s="24">
        <f>'DDS Rates for Amend'!AO19</f>
        <v>12.937859999999999</v>
      </c>
      <c r="H732" s="33">
        <f t="shared" si="306"/>
        <v>13266.098299999996</v>
      </c>
      <c r="I732" s="688"/>
      <c r="J732" s="205"/>
    </row>
    <row r="733" spans="1:12" x14ac:dyDescent="0.25">
      <c r="A733" s="21">
        <f>A$17</f>
        <v>1902</v>
      </c>
      <c r="B733" s="149">
        <f t="shared" si="301"/>
        <v>1.6025641025641024E-2</v>
      </c>
      <c r="C733" s="20">
        <f t="shared" si="302"/>
        <v>13</v>
      </c>
      <c r="D733" s="21">
        <f t="shared" si="303"/>
        <v>7</v>
      </c>
      <c r="E733" s="22">
        <f t="shared" si="304"/>
        <v>140.61640211640213</v>
      </c>
      <c r="F733" s="21">
        <f t="shared" si="305"/>
        <v>984.31481481481489</v>
      </c>
      <c r="G733" s="24">
        <f>'DDS Rates for Amend'!AO20</f>
        <v>13.274244359999999</v>
      </c>
      <c r="H733" s="33">
        <f t="shared" si="306"/>
        <v>13066.035379020001</v>
      </c>
      <c r="I733" s="688"/>
      <c r="J733" s="205"/>
    </row>
    <row r="734" spans="1:12" x14ac:dyDescent="0.25">
      <c r="A734" s="21">
        <f>A$18</f>
        <v>1932</v>
      </c>
      <c r="B734" s="149">
        <f t="shared" si="301"/>
        <v>1.5772870662460567E-2</v>
      </c>
      <c r="C734" s="20">
        <f t="shared" si="302"/>
        <v>14</v>
      </c>
      <c r="D734" s="21">
        <f t="shared" si="303"/>
        <v>7</v>
      </c>
      <c r="E734" s="22">
        <f t="shared" si="304"/>
        <v>134.75132275132276</v>
      </c>
      <c r="F734" s="21">
        <f t="shared" si="305"/>
        <v>943.25925925925935</v>
      </c>
      <c r="G734" s="24">
        <f>'DDS Rates for Amend'!AO21</f>
        <v>13.619374713359999</v>
      </c>
      <c r="H734" s="33">
        <f t="shared" si="306"/>
        <v>12846.60130369824</v>
      </c>
      <c r="I734" s="688"/>
      <c r="J734" s="205"/>
    </row>
    <row r="735" spans="1:12" x14ac:dyDescent="0.25">
      <c r="A735" s="21">
        <f>A$19</f>
        <v>1962</v>
      </c>
      <c r="B735" s="149">
        <f t="shared" si="301"/>
        <v>1.5527950310559006E-2</v>
      </c>
      <c r="C735" s="20">
        <f t="shared" si="302"/>
        <v>15</v>
      </c>
      <c r="D735" s="21">
        <f t="shared" si="303"/>
        <v>7</v>
      </c>
      <c r="E735" s="22">
        <f t="shared" si="304"/>
        <v>128.88624338624339</v>
      </c>
      <c r="F735" s="21">
        <f t="shared" si="305"/>
        <v>902.2037037037037</v>
      </c>
      <c r="G735" s="24">
        <f>'DDS Rates for Amend'!AO22</f>
        <v>13.97347845590736</v>
      </c>
      <c r="H735" s="33">
        <f t="shared" si="306"/>
        <v>12606.924016543531</v>
      </c>
      <c r="I735" s="689"/>
      <c r="J735" s="205"/>
      <c r="K735" s="285">
        <f>SUM(H721:H735)</f>
        <v>4733747.3880733335</v>
      </c>
      <c r="L735" s="17" t="e">
        <f>IF(K735='Appendix J-2'!CD47,0,error)</f>
        <v>#NAME?</v>
      </c>
    </row>
    <row r="736" spans="1:12" x14ac:dyDescent="0.25">
      <c r="C736"/>
      <c r="I736" s="568"/>
      <c r="J736"/>
    </row>
    <row r="737" spans="1:10" ht="15" customHeight="1" x14ac:dyDescent="0.25">
      <c r="A737" s="271" t="s">
        <v>58</v>
      </c>
      <c r="B737" s="272"/>
      <c r="C737" s="272"/>
      <c r="D737" s="292" t="str">
        <f>'Appendix J-2'!B48</f>
        <v>Assessment</v>
      </c>
      <c r="E737" s="223" t="str">
        <f>'Appendix J-2'!C48</f>
        <v>15 minutes</v>
      </c>
      <c r="F737" s="690"/>
      <c r="G737" s="690"/>
      <c r="H737" s="690"/>
      <c r="I737" s="687" t="s">
        <v>1085</v>
      </c>
      <c r="J737" s="205"/>
    </row>
    <row r="738" spans="1:10" x14ac:dyDescent="0.25">
      <c r="A738" s="147" t="s">
        <v>26</v>
      </c>
      <c r="B738" s="147" t="s">
        <v>27</v>
      </c>
      <c r="C738" s="50" t="s">
        <v>166</v>
      </c>
      <c r="D738" s="91" t="s">
        <v>154</v>
      </c>
      <c r="E738" s="89" t="s">
        <v>155</v>
      </c>
      <c r="F738" s="34" t="s">
        <v>158</v>
      </c>
      <c r="G738" s="35" t="s">
        <v>156</v>
      </c>
      <c r="H738" s="51" t="s">
        <v>157</v>
      </c>
      <c r="I738" s="688"/>
      <c r="J738" s="205"/>
    </row>
    <row r="739" spans="1:10" ht="15" customHeight="1" x14ac:dyDescent="0.25">
      <c r="A739" s="21">
        <f>A$5</f>
        <v>1182</v>
      </c>
      <c r="B739" s="148"/>
      <c r="C739" s="144">
        <v>1</v>
      </c>
      <c r="D739" s="247">
        <f>'Appendix J-2'!D48</f>
        <v>17</v>
      </c>
      <c r="E739" s="22">
        <f>IF(F739=0,0,F739/D739)</f>
        <v>1578.1176470588234</v>
      </c>
      <c r="F739" s="247">
        <f>'Appendix J-2'!F48</f>
        <v>26828</v>
      </c>
      <c r="G739" s="24">
        <f>H739/F739</f>
        <v>6.3265647830624712</v>
      </c>
      <c r="H739" s="250">
        <f>'Appendix J-2'!H48</f>
        <v>169729.08</v>
      </c>
      <c r="I739" s="688"/>
      <c r="J739" s="205"/>
    </row>
    <row r="740" spans="1:10" x14ac:dyDescent="0.25">
      <c r="A740" s="21">
        <f>A$6</f>
        <v>1288</v>
      </c>
      <c r="B740" s="149">
        <f>(A740-A739)/A739</f>
        <v>8.9678510998307953E-2</v>
      </c>
      <c r="C740" s="52">
        <v>2</v>
      </c>
      <c r="D740" s="247">
        <f>'Appendix J-2'!I48</f>
        <v>10</v>
      </c>
      <c r="E740" s="22">
        <f t="shared" ref="E740:E747" si="307">IF(F740=0,0,F740/D740)</f>
        <v>2064.1</v>
      </c>
      <c r="F740" s="247">
        <f>'Appendix J-2'!K48</f>
        <v>20641</v>
      </c>
      <c r="G740" s="24">
        <f t="shared" ref="G740:G746" si="308">H740/F740</f>
        <v>6.3155026403759509</v>
      </c>
      <c r="H740" s="250">
        <f>'Appendix J-2'!M48</f>
        <v>130358.29000000001</v>
      </c>
      <c r="I740" s="688"/>
      <c r="J740" s="205"/>
    </row>
    <row r="741" spans="1:10" x14ac:dyDescent="0.25">
      <c r="A741" s="21">
        <f>A$7</f>
        <v>1495</v>
      </c>
      <c r="B741" s="149">
        <f t="shared" ref="B741:B753" si="309">(A741-A740)/A740</f>
        <v>0.16071428571428573</v>
      </c>
      <c r="C741" s="52">
        <v>3</v>
      </c>
      <c r="D741" s="247">
        <f>'Appendix J-2'!N48</f>
        <v>5</v>
      </c>
      <c r="E741" s="22">
        <f t="shared" si="307"/>
        <v>2730</v>
      </c>
      <c r="F741" s="247">
        <f>'Appendix J-2'!P48</f>
        <v>13650</v>
      </c>
      <c r="G741" s="24">
        <f t="shared" si="308"/>
        <v>6.3285816849816845</v>
      </c>
      <c r="H741" s="248">
        <f>'Appendix J-2'!R48</f>
        <v>86385.14</v>
      </c>
      <c r="I741" s="688"/>
      <c r="J741" s="205"/>
    </row>
    <row r="742" spans="1:10" x14ac:dyDescent="0.25">
      <c r="A742" s="21">
        <f>A$8</f>
        <v>1484</v>
      </c>
      <c r="B742" s="149">
        <f t="shared" si="309"/>
        <v>-7.3578595317725752E-3</v>
      </c>
      <c r="C742" s="52">
        <f t="shared" ref="C742:C753" si="310">C741+1</f>
        <v>4</v>
      </c>
      <c r="D742" s="247">
        <f>'Appendix J-2'!S48</f>
        <v>7</v>
      </c>
      <c r="E742" s="22">
        <f t="shared" si="307"/>
        <v>1218.2857142857142</v>
      </c>
      <c r="F742" s="247">
        <f>'Appendix J-2'!U48</f>
        <v>8528</v>
      </c>
      <c r="G742" s="24">
        <f t="shared" si="308"/>
        <v>6.2811421200750468</v>
      </c>
      <c r="H742" s="248">
        <f>'Appendix J-2'!W48</f>
        <v>53565.58</v>
      </c>
      <c r="I742" s="688"/>
      <c r="J742" s="205"/>
    </row>
    <row r="743" spans="1:10" x14ac:dyDescent="0.25">
      <c r="A743" s="21">
        <f>A$9</f>
        <v>1528</v>
      </c>
      <c r="B743" s="149">
        <f t="shared" si="309"/>
        <v>2.9649595687331536E-2</v>
      </c>
      <c r="C743" s="52">
        <f t="shared" si="310"/>
        <v>5</v>
      </c>
      <c r="D743" s="247">
        <f>'Appendix J-2'!X48</f>
        <v>5</v>
      </c>
      <c r="E743" s="22">
        <f t="shared" si="307"/>
        <v>416</v>
      </c>
      <c r="F743" s="247">
        <f>'Appendix J-2'!Z48</f>
        <v>2080</v>
      </c>
      <c r="G743" s="24">
        <f t="shared" si="308"/>
        <v>6.3234615384615385</v>
      </c>
      <c r="H743" s="248">
        <f>'Appendix J-2'!AB48</f>
        <v>13152.8</v>
      </c>
      <c r="I743" s="688"/>
      <c r="J743" s="205"/>
    </row>
    <row r="744" spans="1:10" x14ac:dyDescent="0.25">
      <c r="A744" s="21">
        <f>A$10</f>
        <v>1592</v>
      </c>
      <c r="B744" s="149">
        <f t="shared" si="309"/>
        <v>4.1884816753926704E-2</v>
      </c>
      <c r="C744" s="52">
        <f t="shared" si="310"/>
        <v>6</v>
      </c>
      <c r="D744" s="249">
        <f>'Appendix J-2'!AC48</f>
        <v>1</v>
      </c>
      <c r="E744" s="22">
        <f t="shared" si="307"/>
        <v>112</v>
      </c>
      <c r="F744" s="249">
        <f>'Appendix J-2'!AE48</f>
        <v>112</v>
      </c>
      <c r="G744" s="24">
        <f t="shared" si="308"/>
        <v>6.33</v>
      </c>
      <c r="H744" s="248">
        <f>'Appendix J-2'!AG48</f>
        <v>708.96</v>
      </c>
      <c r="I744" s="688"/>
      <c r="J744" s="205"/>
    </row>
    <row r="745" spans="1:10" x14ac:dyDescent="0.25">
      <c r="A745" s="21">
        <f>A$11</f>
        <v>1642</v>
      </c>
      <c r="B745" s="149">
        <f t="shared" si="309"/>
        <v>3.1407035175879394E-2</v>
      </c>
      <c r="C745" s="20">
        <f t="shared" si="310"/>
        <v>7</v>
      </c>
      <c r="D745" s="249">
        <f>'Appendix J-2'!AH48</f>
        <v>4</v>
      </c>
      <c r="E745" s="22">
        <f t="shared" si="307"/>
        <v>243</v>
      </c>
      <c r="F745" s="249">
        <f>'Appendix J-2'!AJ48</f>
        <v>972</v>
      </c>
      <c r="G745" s="24">
        <f t="shared" si="308"/>
        <v>6.33</v>
      </c>
      <c r="H745" s="248">
        <f>'Appendix J-2'!AL48</f>
        <v>6152.76</v>
      </c>
      <c r="I745" s="688"/>
      <c r="J745" s="205"/>
    </row>
    <row r="746" spans="1:10" x14ac:dyDescent="0.25">
      <c r="A746" s="21">
        <f>A$12</f>
        <v>1675</v>
      </c>
      <c r="B746" s="149">
        <f t="shared" si="309"/>
        <v>2.0097442143727162E-2</v>
      </c>
      <c r="C746" s="20">
        <f t="shared" si="310"/>
        <v>8</v>
      </c>
      <c r="D746" s="249">
        <f>'Appendix J-2'!AM48</f>
        <v>4</v>
      </c>
      <c r="E746" s="22">
        <f t="shared" si="307"/>
        <v>225</v>
      </c>
      <c r="F746" s="249">
        <f>'Appendix J-2'!AO48</f>
        <v>900</v>
      </c>
      <c r="G746" s="24">
        <f t="shared" si="308"/>
        <v>6.33</v>
      </c>
      <c r="H746" s="248">
        <f>'Appendix J-2'!AQ48</f>
        <v>5697</v>
      </c>
      <c r="I746" s="688"/>
      <c r="J746" s="205"/>
    </row>
    <row r="747" spans="1:10" x14ac:dyDescent="0.25">
      <c r="A747" s="21">
        <f>A$13</f>
        <v>1739</v>
      </c>
      <c r="B747" s="149">
        <f t="shared" si="309"/>
        <v>3.8208955223880597E-2</v>
      </c>
      <c r="C747" s="20">
        <f t="shared" si="310"/>
        <v>9</v>
      </c>
      <c r="D747" s="249">
        <f>'Appendix J-2'!AR48</f>
        <v>3</v>
      </c>
      <c r="E747" s="22">
        <f t="shared" si="307"/>
        <v>124.33333333333333</v>
      </c>
      <c r="F747" s="249">
        <f>'Appendix J-2'!AT48</f>
        <v>373</v>
      </c>
      <c r="G747" s="24">
        <f>H747/F747</f>
        <v>6.381876675603217</v>
      </c>
      <c r="H747" s="248">
        <f>'Appendix J-2'!AV48</f>
        <v>2380.44</v>
      </c>
      <c r="I747" s="688"/>
      <c r="J747" s="205"/>
    </row>
    <row r="748" spans="1:10" x14ac:dyDescent="0.25">
      <c r="A748" s="21">
        <f>A$14</f>
        <v>1752</v>
      </c>
      <c r="B748" s="149">
        <f t="shared" si="309"/>
        <v>7.4755606670500289E-3</v>
      </c>
      <c r="C748" s="20">
        <f t="shared" si="310"/>
        <v>10</v>
      </c>
      <c r="D748" s="21">
        <f>ROUND(AVERAGE($D$745:$D$747),0)</f>
        <v>4</v>
      </c>
      <c r="E748" s="22">
        <f>IF(TREND($E$744:$E$747,$C$744:$C$747,C748)&lt;80,TREND($E$744:$E$747,$C$744:$C$747,C748),80)</f>
        <v>80</v>
      </c>
      <c r="F748" s="21">
        <f>D748*E748</f>
        <v>320</v>
      </c>
      <c r="G748" s="24">
        <f>'DDS Rates for Amend'!AP17</f>
        <v>7.21</v>
      </c>
      <c r="H748" s="33">
        <f>F748*G748</f>
        <v>2307.1999999999998</v>
      </c>
      <c r="I748" s="688"/>
      <c r="J748" s="205"/>
    </row>
    <row r="749" spans="1:10" x14ac:dyDescent="0.25">
      <c r="A749" s="21">
        <f>A$15</f>
        <v>1822</v>
      </c>
      <c r="B749" s="149">
        <f t="shared" si="309"/>
        <v>3.9954337899543377E-2</v>
      </c>
      <c r="C749" s="20">
        <f t="shared" si="310"/>
        <v>11</v>
      </c>
      <c r="D749" s="21">
        <f t="shared" ref="D749:D753" si="311">ROUND(AVERAGE($D$745:$D$747),0)</f>
        <v>4</v>
      </c>
      <c r="E749" s="22">
        <f t="shared" ref="E749:E753" si="312">IF(TREND($E$744:$E$747,$C$744:$C$747,C749)&lt;80,TREND($E$744:$E$747,$C$744:$C$747,C749),80)</f>
        <v>80</v>
      </c>
      <c r="F749" s="21">
        <f t="shared" ref="F749:F753" si="313">D749*E749</f>
        <v>320</v>
      </c>
      <c r="G749" s="24">
        <f>'DDS Rates for Amend'!AP18</f>
        <v>6.92</v>
      </c>
      <c r="H749" s="33">
        <f t="shared" ref="H749:H753" si="314">F749*G749</f>
        <v>2214.4</v>
      </c>
      <c r="I749" s="688"/>
      <c r="J749" s="205"/>
    </row>
    <row r="750" spans="1:10" x14ac:dyDescent="0.25">
      <c r="A750" s="21">
        <f>A$16</f>
        <v>1872</v>
      </c>
      <c r="B750" s="149">
        <f t="shared" si="309"/>
        <v>2.7442371020856202E-2</v>
      </c>
      <c r="C750" s="20">
        <f t="shared" si="310"/>
        <v>12</v>
      </c>
      <c r="D750" s="21">
        <f t="shared" si="311"/>
        <v>4</v>
      </c>
      <c r="E750" s="22">
        <f t="shared" si="312"/>
        <v>80</v>
      </c>
      <c r="F750" s="21">
        <f t="shared" si="313"/>
        <v>320</v>
      </c>
      <c r="G750" s="24">
        <f>'DDS Rates for Amend'!AP19</f>
        <v>7.09992</v>
      </c>
      <c r="H750" s="33">
        <f t="shared" si="314"/>
        <v>2271.9744000000001</v>
      </c>
      <c r="I750" s="688"/>
      <c r="J750" s="205"/>
    </row>
    <row r="751" spans="1:10" x14ac:dyDescent="0.25">
      <c r="A751" s="21">
        <f>A$17</f>
        <v>1902</v>
      </c>
      <c r="B751" s="149">
        <f t="shared" si="309"/>
        <v>1.6025641025641024E-2</v>
      </c>
      <c r="C751" s="20">
        <f t="shared" si="310"/>
        <v>13</v>
      </c>
      <c r="D751" s="21">
        <f t="shared" si="311"/>
        <v>4</v>
      </c>
      <c r="E751" s="22">
        <f t="shared" si="312"/>
        <v>80</v>
      </c>
      <c r="F751" s="21">
        <f t="shared" si="313"/>
        <v>320</v>
      </c>
      <c r="G751" s="24">
        <f>'DDS Rates for Amend'!AP20</f>
        <v>7.2845179199999999</v>
      </c>
      <c r="H751" s="33">
        <f t="shared" si="314"/>
        <v>2331.0457344000001</v>
      </c>
      <c r="I751" s="688"/>
      <c r="J751" s="205"/>
    </row>
    <row r="752" spans="1:10" x14ac:dyDescent="0.25">
      <c r="A752" s="21">
        <f>A$18</f>
        <v>1932</v>
      </c>
      <c r="B752" s="149">
        <f t="shared" si="309"/>
        <v>1.5772870662460567E-2</v>
      </c>
      <c r="C752" s="20">
        <f t="shared" si="310"/>
        <v>14</v>
      </c>
      <c r="D752" s="21">
        <f t="shared" si="311"/>
        <v>4</v>
      </c>
      <c r="E752" s="22">
        <f t="shared" si="312"/>
        <v>80</v>
      </c>
      <c r="F752" s="21">
        <f t="shared" si="313"/>
        <v>320</v>
      </c>
      <c r="G752" s="24">
        <f>'DDS Rates for Amend'!AP21</f>
        <v>7.4739153859199998</v>
      </c>
      <c r="H752" s="33">
        <f t="shared" si="314"/>
        <v>2391.6529234944001</v>
      </c>
      <c r="I752" s="688"/>
      <c r="J752" s="205"/>
    </row>
    <row r="753" spans="1:12" x14ac:dyDescent="0.25">
      <c r="A753" s="21">
        <f>A$19</f>
        <v>1962</v>
      </c>
      <c r="B753" s="149">
        <f t="shared" si="309"/>
        <v>1.5527950310559006E-2</v>
      </c>
      <c r="C753" s="20">
        <f t="shared" si="310"/>
        <v>15</v>
      </c>
      <c r="D753" s="21">
        <f t="shared" si="311"/>
        <v>4</v>
      </c>
      <c r="E753" s="22">
        <f t="shared" si="312"/>
        <v>80</v>
      </c>
      <c r="F753" s="21">
        <f t="shared" si="313"/>
        <v>320</v>
      </c>
      <c r="G753" s="24">
        <f>'DDS Rates for Amend'!AP22</f>
        <v>7.6682371859539202</v>
      </c>
      <c r="H753" s="33">
        <f t="shared" si="314"/>
        <v>2453.8358995052545</v>
      </c>
      <c r="I753" s="689"/>
      <c r="J753" s="205"/>
      <c r="K753" s="285">
        <f>SUM(H739:H753)</f>
        <v>482100.15895739972</v>
      </c>
      <c r="L753" s="17">
        <f>IF(K753='Appendix J-2'!CD48,0,error)</f>
        <v>0</v>
      </c>
    </row>
    <row r="754" spans="1:12" x14ac:dyDescent="0.25">
      <c r="A754" s="153"/>
      <c r="B754" s="154"/>
      <c r="C754" s="158"/>
      <c r="D754" s="153"/>
      <c r="E754" s="213"/>
      <c r="F754" s="153"/>
      <c r="G754" s="214"/>
      <c r="H754" s="199"/>
      <c r="I754" s="571"/>
      <c r="J754" s="159"/>
    </row>
    <row r="755" spans="1:12" ht="15" customHeight="1" x14ac:dyDescent="0.25">
      <c r="A755" s="271" t="s">
        <v>59</v>
      </c>
      <c r="B755" s="272"/>
      <c r="C755" s="272"/>
      <c r="D755" s="292" t="str">
        <f>'Appendix J-2'!B49</f>
        <v>Visit</v>
      </c>
      <c r="E755" s="223" t="str">
        <f>'Appendix J-2'!C49</f>
        <v>15 minutes</v>
      </c>
      <c r="F755" s="690"/>
      <c r="G755" s="690"/>
      <c r="H755" s="690"/>
      <c r="I755" s="713" t="s">
        <v>1107</v>
      </c>
      <c r="J755" s="205"/>
    </row>
    <row r="756" spans="1:12" x14ac:dyDescent="0.25">
      <c r="A756" s="147" t="s">
        <v>26</v>
      </c>
      <c r="B756" s="147" t="s">
        <v>27</v>
      </c>
      <c r="C756" s="50" t="s">
        <v>166</v>
      </c>
      <c r="D756" s="91" t="s">
        <v>154</v>
      </c>
      <c r="E756" s="89" t="s">
        <v>155</v>
      </c>
      <c r="F756" s="34" t="s">
        <v>158</v>
      </c>
      <c r="G756" s="35" t="s">
        <v>156</v>
      </c>
      <c r="H756" s="51" t="s">
        <v>157</v>
      </c>
      <c r="I756" s="714"/>
      <c r="J756" s="205"/>
    </row>
    <row r="757" spans="1:12" ht="15" customHeight="1" x14ac:dyDescent="0.25">
      <c r="A757" s="21">
        <f>A$5</f>
        <v>1182</v>
      </c>
      <c r="B757" s="148"/>
      <c r="C757" s="144">
        <v>1</v>
      </c>
      <c r="D757" s="247">
        <f>'Appendix J-2'!D49</f>
        <v>36</v>
      </c>
      <c r="E757" s="22">
        <f>IF(F757=0,0,F757/D757)</f>
        <v>1321.1944444444443</v>
      </c>
      <c r="F757" s="247">
        <f>'Appendix J-2'!F49</f>
        <v>47563</v>
      </c>
      <c r="G757" s="24">
        <f>H757/F757</f>
        <v>10.719000693816623</v>
      </c>
      <c r="H757" s="250">
        <f>'Appendix J-2'!H49</f>
        <v>509827.83</v>
      </c>
      <c r="I757" s="714"/>
      <c r="J757" s="205"/>
    </row>
    <row r="758" spans="1:12" x14ac:dyDescent="0.25">
      <c r="A758" s="21">
        <f>A$6</f>
        <v>1288</v>
      </c>
      <c r="B758" s="149">
        <f>(A758-A757)/A757</f>
        <v>8.9678510998307953E-2</v>
      </c>
      <c r="C758" s="52">
        <v>2</v>
      </c>
      <c r="D758" s="247">
        <f>'Appendix J-2'!I49</f>
        <v>75</v>
      </c>
      <c r="E758" s="22">
        <f t="shared" ref="E758:E765" si="315">IF(F758=0,0,F758/D758)</f>
        <v>2013.72</v>
      </c>
      <c r="F758" s="247">
        <f>'Appendix J-2'!K49</f>
        <v>151029</v>
      </c>
      <c r="G758" s="24">
        <f t="shared" ref="G758:G765" si="316">H758/F758</f>
        <v>10.678877632772513</v>
      </c>
      <c r="H758" s="250">
        <f>'Appendix J-2'!M49</f>
        <v>1612820.21</v>
      </c>
      <c r="I758" s="714"/>
      <c r="J758" s="205"/>
    </row>
    <row r="759" spans="1:12" x14ac:dyDescent="0.25">
      <c r="A759" s="21">
        <f>A$7</f>
        <v>1495</v>
      </c>
      <c r="B759" s="149">
        <f t="shared" ref="B759:B771" si="317">(A759-A758)/A758</f>
        <v>0.16071428571428573</v>
      </c>
      <c r="C759" s="52">
        <v>3</v>
      </c>
      <c r="D759" s="247">
        <f>'Appendix J-2'!N49</f>
        <v>73</v>
      </c>
      <c r="E759" s="22">
        <f t="shared" si="315"/>
        <v>2421.8904109589039</v>
      </c>
      <c r="F759" s="247">
        <f>'Appendix J-2'!P49</f>
        <v>176798</v>
      </c>
      <c r="G759" s="24">
        <f t="shared" si="316"/>
        <v>10.623871254199708</v>
      </c>
      <c r="H759" s="248">
        <f>'Appendix J-2'!R49</f>
        <v>1878279.19</v>
      </c>
      <c r="I759" s="714"/>
      <c r="J759" s="205"/>
    </row>
    <row r="760" spans="1:12" x14ac:dyDescent="0.25">
      <c r="A760" s="21">
        <f>A$8</f>
        <v>1484</v>
      </c>
      <c r="B760" s="149">
        <f t="shared" si="317"/>
        <v>-7.3578595317725752E-3</v>
      </c>
      <c r="C760" s="52">
        <f t="shared" ref="C760:C771" si="318">C759+1</f>
        <v>4</v>
      </c>
      <c r="D760" s="247">
        <f>'Appendix J-2'!S49</f>
        <v>65</v>
      </c>
      <c r="E760" s="22">
        <f t="shared" si="315"/>
        <v>1141.5846153846153</v>
      </c>
      <c r="F760" s="247">
        <f>'Appendix J-2'!U49</f>
        <v>74203</v>
      </c>
      <c r="G760" s="24">
        <f t="shared" si="316"/>
        <v>10.696829238710025</v>
      </c>
      <c r="H760" s="248">
        <f>'Appendix J-2'!W49</f>
        <v>793736.82</v>
      </c>
      <c r="I760" s="714"/>
      <c r="J760" s="205"/>
    </row>
    <row r="761" spans="1:12" x14ac:dyDescent="0.25">
      <c r="A761" s="21">
        <f>A$9</f>
        <v>1528</v>
      </c>
      <c r="B761" s="149">
        <f t="shared" si="317"/>
        <v>2.9649595687331536E-2</v>
      </c>
      <c r="C761" s="52">
        <f t="shared" si="318"/>
        <v>5</v>
      </c>
      <c r="D761" s="247">
        <f>'Appendix J-2'!X49</f>
        <v>39</v>
      </c>
      <c r="E761" s="22">
        <f t="shared" si="315"/>
        <v>352.41025641025641</v>
      </c>
      <c r="F761" s="247">
        <f>'Appendix J-2'!Z49</f>
        <v>13744</v>
      </c>
      <c r="G761" s="24">
        <f t="shared" si="316"/>
        <v>10.499531431897555</v>
      </c>
      <c r="H761" s="248">
        <f>'Appendix J-2'!AB49</f>
        <v>144305.56</v>
      </c>
      <c r="I761" s="714"/>
      <c r="J761" s="205"/>
    </row>
    <row r="762" spans="1:12" x14ac:dyDescent="0.25">
      <c r="A762" s="21">
        <f>A$10</f>
        <v>1592</v>
      </c>
      <c r="B762" s="149">
        <f t="shared" si="317"/>
        <v>4.1884816753926704E-2</v>
      </c>
      <c r="C762" s="20">
        <f t="shared" si="318"/>
        <v>6</v>
      </c>
      <c r="D762" s="249">
        <f>'Appendix J-2'!AC49</f>
        <v>12</v>
      </c>
      <c r="E762" s="22">
        <f t="shared" si="315"/>
        <v>384.33333333333331</v>
      </c>
      <c r="F762" s="249">
        <f>'Appendix J-2'!AE49</f>
        <v>4612</v>
      </c>
      <c r="G762" s="24">
        <f t="shared" si="316"/>
        <v>9.6992541196877706</v>
      </c>
      <c r="H762" s="248">
        <f>'Appendix J-2'!AG49</f>
        <v>44732.959999999999</v>
      </c>
      <c r="I762" s="714"/>
      <c r="J762" s="205"/>
    </row>
    <row r="763" spans="1:12" x14ac:dyDescent="0.25">
      <c r="A763" s="21">
        <f>A$11</f>
        <v>1642</v>
      </c>
      <c r="B763" s="149">
        <f t="shared" si="317"/>
        <v>3.1407035175879394E-2</v>
      </c>
      <c r="C763" s="20">
        <f t="shared" si="318"/>
        <v>7</v>
      </c>
      <c r="D763" s="249">
        <f>'Appendix J-2'!AH49</f>
        <v>33</v>
      </c>
      <c r="E763" s="22">
        <f t="shared" si="315"/>
        <v>368.87878787878788</v>
      </c>
      <c r="F763" s="249">
        <f>'Appendix J-2'!AJ49</f>
        <v>12173</v>
      </c>
      <c r="G763" s="24">
        <f t="shared" si="316"/>
        <v>10.632564692351925</v>
      </c>
      <c r="H763" s="248">
        <f>'Appendix J-2'!AL49</f>
        <v>129430.20999999999</v>
      </c>
      <c r="I763" s="714"/>
      <c r="J763" s="205"/>
    </row>
    <row r="764" spans="1:12" x14ac:dyDescent="0.25">
      <c r="A764" s="21">
        <f>A$12</f>
        <v>1675</v>
      </c>
      <c r="B764" s="149">
        <f t="shared" si="317"/>
        <v>2.0097442143727162E-2</v>
      </c>
      <c r="C764" s="20">
        <f t="shared" si="318"/>
        <v>8</v>
      </c>
      <c r="D764" s="249">
        <f>'Appendix J-2'!AM49</f>
        <v>22</v>
      </c>
      <c r="E764" s="22">
        <f t="shared" si="315"/>
        <v>464.86363636363637</v>
      </c>
      <c r="F764" s="249">
        <f>'Appendix J-2'!AO49</f>
        <v>10227</v>
      </c>
      <c r="G764" s="24">
        <f t="shared" si="316"/>
        <v>10.331327857631758</v>
      </c>
      <c r="H764" s="248">
        <f>'Appendix J-2'!AQ49</f>
        <v>105658.48999999999</v>
      </c>
      <c r="I764" s="714"/>
      <c r="J764" s="205"/>
    </row>
    <row r="765" spans="1:12" x14ac:dyDescent="0.25">
      <c r="A765" s="21">
        <f>A$13</f>
        <v>1739</v>
      </c>
      <c r="B765" s="149">
        <f t="shared" si="317"/>
        <v>3.8208955223880597E-2</v>
      </c>
      <c r="C765" s="20">
        <f t="shared" si="318"/>
        <v>9</v>
      </c>
      <c r="D765" s="249">
        <f>'Appendix J-2'!AR49</f>
        <v>49</v>
      </c>
      <c r="E765" s="22">
        <f t="shared" si="315"/>
        <v>616.16326530612241</v>
      </c>
      <c r="F765" s="249">
        <f>'Appendix J-2'!AT49</f>
        <v>30192</v>
      </c>
      <c r="G765" s="24">
        <f t="shared" si="316"/>
        <v>11.167774576046636</v>
      </c>
      <c r="H765" s="248">
        <f>'Appendix J-2'!AV49</f>
        <v>337177.45</v>
      </c>
      <c r="I765" s="714"/>
      <c r="J765" s="205"/>
    </row>
    <row r="766" spans="1:12" x14ac:dyDescent="0.25">
      <c r="A766" s="21">
        <f>A$14</f>
        <v>1752</v>
      </c>
      <c r="B766" s="149">
        <f t="shared" si="317"/>
        <v>7.4755606670500289E-3</v>
      </c>
      <c r="C766" s="20">
        <f t="shared" si="318"/>
        <v>10</v>
      </c>
      <c r="D766" s="21">
        <f>ROUND((TREND($D$762:$D$765,$A$762:$A$765,A766)),0)</f>
        <v>49</v>
      </c>
      <c r="E766" s="22">
        <f>IF(TREND($E$762:$E$765,$C$762:$C$765,C766)&gt;0,TREND($E$762:$E$765,$C$762:$C$765,C766),0)</f>
        <v>656.42841682127391</v>
      </c>
      <c r="F766" s="21">
        <f>D766*E766</f>
        <v>32164.99242424242</v>
      </c>
      <c r="G766" s="24">
        <f>'DDS Rates for Amend'!AQ17</f>
        <v>11.98</v>
      </c>
      <c r="H766" s="33">
        <f>F766*G766</f>
        <v>385336.60924242419</v>
      </c>
      <c r="I766" s="714"/>
      <c r="J766" s="205"/>
    </row>
    <row r="767" spans="1:12" x14ac:dyDescent="0.25">
      <c r="A767" s="21">
        <f>A$15</f>
        <v>1822</v>
      </c>
      <c r="B767" s="149">
        <f t="shared" si="317"/>
        <v>3.9954337899543377E-2</v>
      </c>
      <c r="C767" s="20">
        <f t="shared" si="318"/>
        <v>11</v>
      </c>
      <c r="D767" s="21">
        <f>ROUND((TREND($D$762:$D$765,$A$762:$A$765,A767)),0)+28</f>
        <v>93</v>
      </c>
      <c r="E767" s="22">
        <f t="shared" ref="E767:E771" si="319">IF(TREND($E$762:$E$765,$C$762:$C$765,C767)&gt;0,TREND($E$762:$E$765,$C$762:$C$765,C767),0)</f>
        <v>735.57588126159544</v>
      </c>
      <c r="F767" s="21">
        <f t="shared" ref="F767:F771" si="320">D767*E767</f>
        <v>68408.556957328372</v>
      </c>
      <c r="G767" s="24">
        <f>'DDS Rates for Amend'!AQ18</f>
        <v>12.61</v>
      </c>
      <c r="H767" s="33">
        <f t="shared" ref="H767:H771" si="321">F767*G767</f>
        <v>862631.90323191078</v>
      </c>
      <c r="I767" s="714"/>
      <c r="J767" s="205"/>
    </row>
    <row r="768" spans="1:12" x14ac:dyDescent="0.25">
      <c r="A768" s="21">
        <f>A$16</f>
        <v>1872</v>
      </c>
      <c r="B768" s="149">
        <f t="shared" si="317"/>
        <v>2.7442371020856202E-2</v>
      </c>
      <c r="C768" s="20">
        <f t="shared" si="318"/>
        <v>12</v>
      </c>
      <c r="D768" s="21">
        <f>ROUND((TREND($D$762:$D$765,$A$762:$A$765,A768)),0)+30+28</f>
        <v>134</v>
      </c>
      <c r="E768" s="22">
        <f t="shared" si="319"/>
        <v>814.72334570191697</v>
      </c>
      <c r="F768" s="21">
        <f t="shared" si="320"/>
        <v>109172.92832405688</v>
      </c>
      <c r="G768" s="24">
        <f>'DDS Rates for Amend'!AQ19</f>
        <v>12.937859999999999</v>
      </c>
      <c r="H768" s="33">
        <f t="shared" si="321"/>
        <v>1412464.0624466825</v>
      </c>
      <c r="I768" s="714"/>
      <c r="J768" s="205"/>
    </row>
    <row r="769" spans="1:12" x14ac:dyDescent="0.25">
      <c r="A769" s="21">
        <f>A$17</f>
        <v>1902</v>
      </c>
      <c r="B769" s="149">
        <f t="shared" si="317"/>
        <v>1.6025641025641024E-2</v>
      </c>
      <c r="C769" s="20">
        <f t="shared" si="318"/>
        <v>13</v>
      </c>
      <c r="D769" s="21">
        <f>ROUND((TREND($D$762:$D$765,$A$762:$A$765,A769)),0)+30+28+15</f>
        <v>156</v>
      </c>
      <c r="E769" s="22">
        <f t="shared" si="319"/>
        <v>893.8708101422385</v>
      </c>
      <c r="F769" s="21">
        <f t="shared" si="320"/>
        <v>139443.84638218919</v>
      </c>
      <c r="G769" s="24">
        <f>'DDS Rates for Amend'!AQ20</f>
        <v>13.274244359999999</v>
      </c>
      <c r="H769" s="33">
        <f t="shared" si="321"/>
        <v>1851011.6913754812</v>
      </c>
      <c r="I769" s="714"/>
      <c r="J769" s="205"/>
    </row>
    <row r="770" spans="1:12" x14ac:dyDescent="0.25">
      <c r="A770" s="21">
        <f>A$18</f>
        <v>1932</v>
      </c>
      <c r="B770" s="149">
        <f t="shared" si="317"/>
        <v>1.5772870662460567E-2</v>
      </c>
      <c r="C770" s="20">
        <f t="shared" si="318"/>
        <v>14</v>
      </c>
      <c r="D770" s="21">
        <f>ROUND((TREND($D$762:$D$765,$A$762:$A$765,A770)),0)+30+28+15+7</f>
        <v>170</v>
      </c>
      <c r="E770" s="22">
        <f t="shared" si="319"/>
        <v>973.01827458256025</v>
      </c>
      <c r="F770" s="21">
        <f t="shared" si="320"/>
        <v>165413.10667903523</v>
      </c>
      <c r="G770" s="24">
        <f>'DDS Rates for Amend'!AQ21</f>
        <v>13.619374713359999</v>
      </c>
      <c r="H770" s="33">
        <f t="shared" si="321"/>
        <v>2252823.0823627724</v>
      </c>
      <c r="I770" s="714"/>
      <c r="J770" s="205"/>
    </row>
    <row r="771" spans="1:12" x14ac:dyDescent="0.25">
      <c r="A771" s="21">
        <f>A$19</f>
        <v>1962</v>
      </c>
      <c r="B771" s="149">
        <f t="shared" si="317"/>
        <v>1.5527950310559006E-2</v>
      </c>
      <c r="C771" s="20">
        <f t="shared" si="318"/>
        <v>15</v>
      </c>
      <c r="D771" s="21">
        <f>ROUND((TREND($D$762:$D$765,$A$762:$A$765,A771)),0)+30+28+15+7+7</f>
        <v>183</v>
      </c>
      <c r="E771" s="22">
        <f t="shared" si="319"/>
        <v>1052.1657390228818</v>
      </c>
      <c r="F771" s="21">
        <f t="shared" si="320"/>
        <v>192546.33024118736</v>
      </c>
      <c r="G771" s="24">
        <f>'DDS Rates for Amend'!AQ22</f>
        <v>13.97347845590736</v>
      </c>
      <c r="H771" s="33">
        <f t="shared" si="321"/>
        <v>2690541.9973892556</v>
      </c>
      <c r="I771" s="715"/>
      <c r="J771" s="205"/>
      <c r="K771" s="287">
        <f>SUM(H757:H771)</f>
        <v>15010778.066048527</v>
      </c>
      <c r="L771" s="17">
        <f>IF(K771='Appendix J-2'!CD49,0,error)</f>
        <v>0</v>
      </c>
    </row>
    <row r="772" spans="1:12" x14ac:dyDescent="0.25">
      <c r="C772"/>
      <c r="E772" s="221"/>
      <c r="I772" s="568"/>
      <c r="J772"/>
    </row>
    <row r="773" spans="1:12" ht="15" customHeight="1" x14ac:dyDescent="0.25">
      <c r="A773" s="271" t="s">
        <v>60</v>
      </c>
      <c r="B773" s="272"/>
      <c r="C773" s="272"/>
      <c r="D773" s="292" t="str">
        <f>'Appendix J-2'!B50</f>
        <v>Visit</v>
      </c>
      <c r="E773" s="232" t="str">
        <f>'Appendix J-2'!C50</f>
        <v>15 minutes</v>
      </c>
      <c r="F773" s="690"/>
      <c r="G773" s="690"/>
      <c r="H773" s="690"/>
      <c r="I773" s="713" t="s">
        <v>1108</v>
      </c>
      <c r="J773" s="205"/>
    </row>
    <row r="774" spans="1:12" x14ac:dyDescent="0.25">
      <c r="A774" s="147" t="s">
        <v>26</v>
      </c>
      <c r="B774" s="147" t="s">
        <v>27</v>
      </c>
      <c r="C774" s="50" t="s">
        <v>166</v>
      </c>
      <c r="D774" s="91" t="s">
        <v>154</v>
      </c>
      <c r="E774" s="89" t="s">
        <v>155</v>
      </c>
      <c r="F774" s="34" t="s">
        <v>158</v>
      </c>
      <c r="G774" s="35" t="s">
        <v>156</v>
      </c>
      <c r="H774" s="51" t="s">
        <v>157</v>
      </c>
      <c r="I774" s="714"/>
      <c r="J774" s="205"/>
    </row>
    <row r="775" spans="1:12" ht="15" customHeight="1" x14ac:dyDescent="0.25">
      <c r="A775" s="21">
        <f>A$5</f>
        <v>1182</v>
      </c>
      <c r="B775" s="148"/>
      <c r="C775" s="144">
        <v>1</v>
      </c>
      <c r="D775" s="247">
        <f>'Appendix J-2'!D50</f>
        <v>103</v>
      </c>
      <c r="E775" s="22">
        <f>IF(F775=0,0,F775/D775)</f>
        <v>1401.6504854368932</v>
      </c>
      <c r="F775" s="247">
        <f>'Appendix J-2'!F50</f>
        <v>144370</v>
      </c>
      <c r="G775" s="24">
        <f>H775/F775</f>
        <v>6.2958421417191932</v>
      </c>
      <c r="H775" s="250">
        <f>'Appendix J-2'!H50</f>
        <v>908930.73</v>
      </c>
      <c r="I775" s="714"/>
      <c r="J775" s="205"/>
    </row>
    <row r="776" spans="1:12" x14ac:dyDescent="0.25">
      <c r="A776" s="21">
        <f>A$6</f>
        <v>1288</v>
      </c>
      <c r="B776" s="149">
        <f>(A776-A775)/A775</f>
        <v>8.9678510998307953E-2</v>
      </c>
      <c r="C776" s="52">
        <v>2</v>
      </c>
      <c r="D776" s="247">
        <f>'Appendix J-2'!I50</f>
        <v>88</v>
      </c>
      <c r="E776" s="22">
        <f t="shared" ref="E776:E783" si="322">IF(F776=0,0,F776/D776)</f>
        <v>1694.5454545454545</v>
      </c>
      <c r="F776" s="247">
        <f>'Appendix J-2'!K50</f>
        <v>149120</v>
      </c>
      <c r="G776" s="24">
        <f t="shared" ref="G776:G783" si="323">H776/F776</f>
        <v>6.2715342677038617</v>
      </c>
      <c r="H776" s="250">
        <f>'Appendix J-2'!M50</f>
        <v>935211.18999999983</v>
      </c>
      <c r="I776" s="714"/>
      <c r="J776" s="205"/>
    </row>
    <row r="777" spans="1:12" x14ac:dyDescent="0.25">
      <c r="A777" s="21">
        <f>A$7</f>
        <v>1495</v>
      </c>
      <c r="B777" s="149">
        <f t="shared" ref="B777:B789" si="324">(A777-A776)/A776</f>
        <v>0.16071428571428573</v>
      </c>
      <c r="C777" s="52">
        <v>3</v>
      </c>
      <c r="D777" s="247">
        <f>'Appendix J-2'!N50</f>
        <v>76</v>
      </c>
      <c r="E777" s="22">
        <f t="shared" si="322"/>
        <v>1948.4342105263158</v>
      </c>
      <c r="F777" s="247">
        <f>'Appendix J-2'!P50</f>
        <v>148081</v>
      </c>
      <c r="G777" s="24">
        <f t="shared" si="323"/>
        <v>6.3156047028315596</v>
      </c>
      <c r="H777" s="248">
        <f>'Appendix J-2'!R50</f>
        <v>935221.06000000017</v>
      </c>
      <c r="I777" s="714"/>
      <c r="J777" s="205"/>
    </row>
    <row r="778" spans="1:12" x14ac:dyDescent="0.25">
      <c r="A778" s="21">
        <f>A$8</f>
        <v>1484</v>
      </c>
      <c r="B778" s="149">
        <f t="shared" si="324"/>
        <v>-7.3578595317725752E-3</v>
      </c>
      <c r="C778" s="52">
        <f t="shared" ref="C778:C789" si="325">C777+1</f>
        <v>4</v>
      </c>
      <c r="D778" s="247">
        <f>'Appendix J-2'!S50</f>
        <v>77</v>
      </c>
      <c r="E778" s="22">
        <f t="shared" si="322"/>
        <v>1216.4675324675325</v>
      </c>
      <c r="F778" s="247">
        <f>'Appendix J-2'!U50</f>
        <v>93668</v>
      </c>
      <c r="G778" s="24">
        <f t="shared" si="323"/>
        <v>6.2860305547252002</v>
      </c>
      <c r="H778" s="248">
        <f>'Appendix J-2'!W50</f>
        <v>588799.91</v>
      </c>
      <c r="I778" s="714"/>
      <c r="J778" s="205"/>
    </row>
    <row r="779" spans="1:12" x14ac:dyDescent="0.25">
      <c r="A779" s="21">
        <f>A$9</f>
        <v>1528</v>
      </c>
      <c r="B779" s="149">
        <f t="shared" si="324"/>
        <v>2.9649595687331536E-2</v>
      </c>
      <c r="C779" s="52">
        <f t="shared" si="325"/>
        <v>5</v>
      </c>
      <c r="D779" s="247">
        <f>'Appendix J-2'!X50</f>
        <v>49</v>
      </c>
      <c r="E779" s="22">
        <f t="shared" si="322"/>
        <v>282.47510204081635</v>
      </c>
      <c r="F779" s="247">
        <f>'Appendix J-2'!Z50</f>
        <v>13841.28</v>
      </c>
      <c r="G779" s="24">
        <f t="shared" si="323"/>
        <v>6.3043511871734399</v>
      </c>
      <c r="H779" s="248">
        <f>'Appendix J-2'!AB50</f>
        <v>87260.29</v>
      </c>
      <c r="I779" s="714"/>
      <c r="J779" s="205"/>
    </row>
    <row r="780" spans="1:12" x14ac:dyDescent="0.25">
      <c r="A780" s="21">
        <f>A$10</f>
        <v>1592</v>
      </c>
      <c r="B780" s="149">
        <f t="shared" si="324"/>
        <v>4.1884816753926704E-2</v>
      </c>
      <c r="C780" s="20">
        <f t="shared" si="325"/>
        <v>6</v>
      </c>
      <c r="D780" s="249">
        <f>'Appendix J-2'!AC50</f>
        <v>33</v>
      </c>
      <c r="E780" s="22">
        <f t="shared" si="322"/>
        <v>215.57575757575756</v>
      </c>
      <c r="F780" s="249">
        <f>'Appendix J-2'!AE50</f>
        <v>7114</v>
      </c>
      <c r="G780" s="24">
        <f t="shared" si="323"/>
        <v>6.3289879111610903</v>
      </c>
      <c r="H780" s="248">
        <f>'Appendix J-2'!AG50</f>
        <v>45024.42</v>
      </c>
      <c r="I780" s="714"/>
      <c r="J780" s="205"/>
    </row>
    <row r="781" spans="1:12" x14ac:dyDescent="0.25">
      <c r="A781" s="21">
        <f>A$11</f>
        <v>1642</v>
      </c>
      <c r="B781" s="149">
        <f t="shared" si="324"/>
        <v>3.1407035175879394E-2</v>
      </c>
      <c r="C781" s="20">
        <f t="shared" si="325"/>
        <v>7</v>
      </c>
      <c r="D781" s="249">
        <f>'Appendix J-2'!AH50</f>
        <v>0</v>
      </c>
      <c r="E781" s="22">
        <f t="shared" si="322"/>
        <v>0</v>
      </c>
      <c r="F781" s="249">
        <f>'Appendix J-2'!AJ50</f>
        <v>0</v>
      </c>
      <c r="G781" s="24" t="e">
        <f t="shared" si="323"/>
        <v>#DIV/0!</v>
      </c>
      <c r="H781" s="248">
        <f>'Appendix J-2'!AL50</f>
        <v>0</v>
      </c>
      <c r="I781" s="714"/>
      <c r="J781" s="205"/>
    </row>
    <row r="782" spans="1:12" x14ac:dyDescent="0.25">
      <c r="A782" s="21">
        <f>A$12</f>
        <v>1675</v>
      </c>
      <c r="B782" s="149">
        <f t="shared" si="324"/>
        <v>2.0097442143727162E-2</v>
      </c>
      <c r="C782" s="20">
        <f t="shared" si="325"/>
        <v>8</v>
      </c>
      <c r="D782" s="249">
        <f>'Appendix J-2'!AM50</f>
        <v>7</v>
      </c>
      <c r="E782" s="22">
        <f t="shared" si="322"/>
        <v>235.14285714285714</v>
      </c>
      <c r="F782" s="249">
        <f>'Appendix J-2'!AO50</f>
        <v>1646</v>
      </c>
      <c r="G782" s="24">
        <f t="shared" si="323"/>
        <v>6.3792102065613614</v>
      </c>
      <c r="H782" s="248">
        <f>'Appendix J-2'!AQ50</f>
        <v>10500.18</v>
      </c>
      <c r="I782" s="714"/>
      <c r="J782" s="205"/>
    </row>
    <row r="783" spans="1:12" x14ac:dyDescent="0.25">
      <c r="A783" s="21">
        <f>A$13</f>
        <v>1739</v>
      </c>
      <c r="B783" s="149">
        <f t="shared" si="324"/>
        <v>3.8208955223880597E-2</v>
      </c>
      <c r="C783" s="20">
        <f t="shared" si="325"/>
        <v>9</v>
      </c>
      <c r="D783" s="249">
        <f>'Appendix J-2'!AR50</f>
        <v>16</v>
      </c>
      <c r="E783" s="22">
        <f t="shared" si="322"/>
        <v>506</v>
      </c>
      <c r="F783" s="249">
        <f>'Appendix J-2'!AT50</f>
        <v>8096</v>
      </c>
      <c r="G783" s="24">
        <f t="shared" si="323"/>
        <v>6.8895454545454538</v>
      </c>
      <c r="H783" s="248">
        <f>'Appendix J-2'!AV50</f>
        <v>55777.759999999995</v>
      </c>
      <c r="I783" s="714"/>
      <c r="J783" s="205"/>
    </row>
    <row r="784" spans="1:12" x14ac:dyDescent="0.25">
      <c r="A784" s="21">
        <f>A$14</f>
        <v>1752</v>
      </c>
      <c r="B784" s="149">
        <f t="shared" si="324"/>
        <v>7.4755606670500289E-3</v>
      </c>
      <c r="C784" s="20">
        <f t="shared" si="325"/>
        <v>10</v>
      </c>
      <c r="D784" s="21">
        <f>ROUND((TREND($D$782:$D$783,$A$782:$A$783,A784)),0)</f>
        <v>18</v>
      </c>
      <c r="E784" s="22">
        <f>IF(TREND($E$779:$E$783,$C$779:$C$783,C784)&gt;0,TREND($E$779:$E$783,$C$779:$C$783,C784),0)</f>
        <v>387.82381199752626</v>
      </c>
      <c r="F784" s="21">
        <f>D784*E784</f>
        <v>6980.8286159554727</v>
      </c>
      <c r="G784" s="24">
        <f>'DDS Rates for Amend'!AR17</f>
        <v>7.21</v>
      </c>
      <c r="H784" s="33">
        <f>F784*G784</f>
        <v>50331.77432103896</v>
      </c>
      <c r="I784" s="714"/>
      <c r="J784" s="205"/>
    </row>
    <row r="785" spans="1:35" x14ac:dyDescent="0.25">
      <c r="A785" s="21">
        <f>A$15</f>
        <v>1822</v>
      </c>
      <c r="B785" s="149">
        <f t="shared" si="324"/>
        <v>3.9954337899543377E-2</v>
      </c>
      <c r="C785" s="20">
        <f t="shared" si="325"/>
        <v>11</v>
      </c>
      <c r="D785" s="21">
        <f>ROUND((TREND($D$782:$D$783,$A$782:$A$783,A785)),0)+28</f>
        <v>56</v>
      </c>
      <c r="E785" s="22">
        <f t="shared" ref="E785:E789" si="326">IF(TREND($E$779:$E$783,$C$779:$C$783,C785)&gt;0,TREND($E$779:$E$783,$C$779:$C$783,C785),0)</f>
        <v>434.4855015460729</v>
      </c>
      <c r="F785" s="21">
        <f t="shared" ref="F785:F789" si="327">D785*E785</f>
        <v>24331.188086580081</v>
      </c>
      <c r="G785" s="24">
        <f>'DDS Rates for Amend'!AR18</f>
        <v>6.92</v>
      </c>
      <c r="H785" s="33">
        <f t="shared" ref="H785:H789" si="328">F785*G785</f>
        <v>168371.82155913417</v>
      </c>
      <c r="I785" s="714"/>
      <c r="J785" s="205"/>
    </row>
    <row r="786" spans="1:35" x14ac:dyDescent="0.25">
      <c r="A786" s="21">
        <f>A$16</f>
        <v>1872</v>
      </c>
      <c r="B786" s="149">
        <f t="shared" si="324"/>
        <v>2.7442371020856202E-2</v>
      </c>
      <c r="C786" s="20">
        <f t="shared" si="325"/>
        <v>12</v>
      </c>
      <c r="D786" s="21">
        <f>ROUND((TREND($D$782:$D$783,$A$782:$A$783,A786)),0)+30+28</f>
        <v>93</v>
      </c>
      <c r="E786" s="22">
        <f t="shared" si="326"/>
        <v>481.14719109461953</v>
      </c>
      <c r="F786" s="21">
        <f t="shared" si="327"/>
        <v>44746.688771799614</v>
      </c>
      <c r="G786" s="24">
        <f>'DDS Rates for Amend'!AR19</f>
        <v>7.09992</v>
      </c>
      <c r="H786" s="33">
        <f t="shared" si="328"/>
        <v>317697.91054467554</v>
      </c>
      <c r="I786" s="714"/>
      <c r="J786" s="205"/>
    </row>
    <row r="787" spans="1:35" x14ac:dyDescent="0.25">
      <c r="A787" s="21">
        <f>A$17</f>
        <v>1902</v>
      </c>
      <c r="B787" s="149">
        <f t="shared" si="324"/>
        <v>1.6025641025641024E-2</v>
      </c>
      <c r="C787" s="20">
        <f t="shared" si="325"/>
        <v>13</v>
      </c>
      <c r="D787" s="21">
        <f>ROUND((TREND($D$782:$D$783,$A$782:$A$783,A787)),0)+30+28+15</f>
        <v>112</v>
      </c>
      <c r="E787" s="22">
        <f t="shared" si="326"/>
        <v>527.80888064316628</v>
      </c>
      <c r="F787" s="21">
        <f t="shared" si="327"/>
        <v>59114.594632034627</v>
      </c>
      <c r="G787" s="24">
        <f>'DDS Rates for Amend'!AR20</f>
        <v>7.2845179199999999</v>
      </c>
      <c r="H787" s="33">
        <f t="shared" si="328"/>
        <v>430621.32393059204</v>
      </c>
      <c r="I787" s="714"/>
      <c r="J787" s="205"/>
    </row>
    <row r="788" spans="1:35" x14ac:dyDescent="0.25">
      <c r="A788" s="21">
        <f>A$18</f>
        <v>1932</v>
      </c>
      <c r="B788" s="149">
        <f t="shared" si="324"/>
        <v>1.5772870662460567E-2</v>
      </c>
      <c r="C788" s="20">
        <f t="shared" si="325"/>
        <v>14</v>
      </c>
      <c r="D788" s="21">
        <f>ROUND((TREND($D$782:$D$783,$A$782:$A$783,A788)),0)+30+28+15+7</f>
        <v>123</v>
      </c>
      <c r="E788" s="22">
        <f t="shared" si="326"/>
        <v>574.47057019171291</v>
      </c>
      <c r="F788" s="21">
        <f t="shared" si="327"/>
        <v>70659.880133580693</v>
      </c>
      <c r="G788" s="24">
        <f>'DDS Rates for Amend'!AR21</f>
        <v>7.4739153859199998</v>
      </c>
      <c r="H788" s="33">
        <f t="shared" si="328"/>
        <v>528105.96529763169</v>
      </c>
      <c r="I788" s="714"/>
      <c r="J788" s="205"/>
    </row>
    <row r="789" spans="1:35" x14ac:dyDescent="0.25">
      <c r="A789" s="21">
        <f>A$19</f>
        <v>1962</v>
      </c>
      <c r="B789" s="149">
        <f t="shared" si="324"/>
        <v>1.5527950310559006E-2</v>
      </c>
      <c r="C789" s="20">
        <f t="shared" si="325"/>
        <v>15</v>
      </c>
      <c r="D789" s="21">
        <f>ROUND((TREND($D$782:$D$783,$A$782:$A$783,A789)),0)+30+28+15+7+7</f>
        <v>134</v>
      </c>
      <c r="E789" s="22">
        <f t="shared" si="326"/>
        <v>621.13225974025966</v>
      </c>
      <c r="F789" s="21">
        <f t="shared" si="327"/>
        <v>83231.72280519479</v>
      </c>
      <c r="G789" s="24">
        <f>'DDS Rates for Amend'!AR22</f>
        <v>7.6682371859539202</v>
      </c>
      <c r="H789" s="33">
        <f t="shared" si="328"/>
        <v>638240.59186580358</v>
      </c>
      <c r="I789" s="715"/>
      <c r="J789" s="205"/>
      <c r="K789" s="285">
        <f>SUM(H775:H789)</f>
        <v>5700094.9275188763</v>
      </c>
      <c r="L789" s="17">
        <f>IF(K789='Appendix J-2'!CD50,0,error)</f>
        <v>0</v>
      </c>
    </row>
    <row r="790" spans="1:35" x14ac:dyDescent="0.25">
      <c r="C790"/>
      <c r="I790" s="568"/>
      <c r="J790"/>
    </row>
    <row r="791" spans="1:35" x14ac:dyDescent="0.25">
      <c r="A791" s="271" t="s">
        <v>61</v>
      </c>
      <c r="B791" s="272"/>
      <c r="C791" s="272"/>
      <c r="D791" s="292" t="str">
        <f>'Appendix J-2'!B51</f>
        <v>Visit</v>
      </c>
      <c r="E791" s="223" t="str">
        <f>'Appendix J-2'!C51</f>
        <v>15 minutes</v>
      </c>
      <c r="F791" s="690"/>
      <c r="G791" s="690"/>
      <c r="H791" s="690"/>
      <c r="I791" s="687" t="s">
        <v>1138</v>
      </c>
      <c r="J791" s="205"/>
      <c r="N791" s="271" t="s">
        <v>621</v>
      </c>
      <c r="O791" s="272"/>
      <c r="P791" s="272"/>
      <c r="Q791" s="292"/>
      <c r="AF791" s="17"/>
      <c r="AG791" s="17"/>
      <c r="AH791" s="17"/>
      <c r="AI791" s="17"/>
    </row>
    <row r="792" spans="1:35" x14ac:dyDescent="0.25">
      <c r="A792" s="147" t="s">
        <v>26</v>
      </c>
      <c r="B792" s="147" t="s">
        <v>27</v>
      </c>
      <c r="C792" s="50" t="s">
        <v>166</v>
      </c>
      <c r="D792" s="91" t="s">
        <v>154</v>
      </c>
      <c r="E792" s="89" t="s">
        <v>155</v>
      </c>
      <c r="F792" s="34" t="s">
        <v>158</v>
      </c>
      <c r="G792" s="35" t="s">
        <v>156</v>
      </c>
      <c r="H792" s="51" t="s">
        <v>157</v>
      </c>
      <c r="I792" s="688"/>
      <c r="J792" s="205"/>
      <c r="N792" s="147" t="s">
        <v>26</v>
      </c>
      <c r="O792" s="147" t="s">
        <v>27</v>
      </c>
      <c r="P792" s="51" t="s">
        <v>166</v>
      </c>
      <c r="Q792" s="91" t="s">
        <v>154</v>
      </c>
      <c r="AF792" s="17"/>
      <c r="AG792" s="17"/>
      <c r="AH792" s="17"/>
      <c r="AI792" s="17"/>
    </row>
    <row r="793" spans="1:35" ht="15" customHeight="1" x14ac:dyDescent="0.25">
      <c r="A793" s="21">
        <f>A$5</f>
        <v>1182</v>
      </c>
      <c r="B793" s="148"/>
      <c r="C793" s="144">
        <v>1</v>
      </c>
      <c r="D793" s="247">
        <f>'Appendix J-2'!D51</f>
        <v>63</v>
      </c>
      <c r="E793" s="22">
        <f>IF(F793=0,0,F793/D793)</f>
        <v>1915.2063492063492</v>
      </c>
      <c r="F793" s="247">
        <f>'Appendix J-2'!F51</f>
        <v>120658</v>
      </c>
      <c r="G793" s="24">
        <f>H793/F793</f>
        <v>10.416051898755159</v>
      </c>
      <c r="H793" s="250">
        <f>'Appendix J-2'!H51</f>
        <v>1256779.99</v>
      </c>
      <c r="I793" s="688"/>
      <c r="J793" s="205"/>
      <c r="N793" s="21">
        <f>A793</f>
        <v>1182</v>
      </c>
      <c r="O793" s="148"/>
      <c r="P793" s="144">
        <v>1</v>
      </c>
      <c r="Q793" s="247">
        <f>D793+D811</f>
        <v>191</v>
      </c>
      <c r="AF793" s="17"/>
      <c r="AG793" s="17"/>
      <c r="AH793" s="17"/>
      <c r="AI793" s="17"/>
    </row>
    <row r="794" spans="1:35" x14ac:dyDescent="0.25">
      <c r="A794" s="21">
        <f>A$6</f>
        <v>1288</v>
      </c>
      <c r="B794" s="149">
        <f>(A794-A793)/A793</f>
        <v>8.9678510998307953E-2</v>
      </c>
      <c r="C794" s="52">
        <v>2</v>
      </c>
      <c r="D794" s="247">
        <f>'Appendix J-2'!I51</f>
        <v>85</v>
      </c>
      <c r="E794" s="22">
        <f t="shared" ref="E794:E801" si="329">IF(F794=0,0,F794/D794)</f>
        <v>2240.1058823529411</v>
      </c>
      <c r="F794" s="247">
        <f>'Appendix J-2'!K51</f>
        <v>190409</v>
      </c>
      <c r="G794" s="24">
        <f t="shared" ref="G794:G801" si="330">H794/F794</f>
        <v>10.218882143176005</v>
      </c>
      <c r="H794" s="250">
        <f>'Appendix J-2'!M51</f>
        <v>1945767.13</v>
      </c>
      <c r="I794" s="688"/>
      <c r="J794" s="205"/>
      <c r="N794" s="21">
        <f t="shared" ref="N794:N807" si="331">A794</f>
        <v>1288</v>
      </c>
      <c r="O794" s="149">
        <f>(N794-N793)/N793</f>
        <v>8.9678510998307953E-2</v>
      </c>
      <c r="P794" s="52">
        <v>2</v>
      </c>
      <c r="Q794" s="247">
        <f t="shared" ref="Q794:Q801" si="332">D794+D812</f>
        <v>215</v>
      </c>
      <c r="AF794" s="17"/>
      <c r="AG794" s="17"/>
      <c r="AH794" s="17"/>
      <c r="AI794" s="17"/>
    </row>
    <row r="795" spans="1:35" x14ac:dyDescent="0.25">
      <c r="A795" s="21">
        <f>A$7</f>
        <v>1495</v>
      </c>
      <c r="B795" s="149">
        <f t="shared" ref="B795:B807" si="333">(A795-A794)/A794</f>
        <v>0.16071428571428573</v>
      </c>
      <c r="C795" s="52">
        <v>3</v>
      </c>
      <c r="D795" s="247">
        <f>'Appendix J-2'!N51</f>
        <v>103</v>
      </c>
      <c r="E795" s="22">
        <f t="shared" si="329"/>
        <v>2743.6699029126212</v>
      </c>
      <c r="F795" s="247">
        <f>'Appendix J-2'!P51</f>
        <v>282598</v>
      </c>
      <c r="G795" s="24">
        <f t="shared" si="330"/>
        <v>10.695692255429973</v>
      </c>
      <c r="H795" s="248">
        <f>'Appendix J-2'!R51</f>
        <v>3022581.2399999998</v>
      </c>
      <c r="I795" s="688"/>
      <c r="J795" s="205"/>
      <c r="N795" s="21">
        <f t="shared" si="331"/>
        <v>1495</v>
      </c>
      <c r="O795" s="149">
        <f t="shared" ref="O795:O807" si="334">(N795-N794)/N794</f>
        <v>0.16071428571428573</v>
      </c>
      <c r="P795" s="52">
        <v>3</v>
      </c>
      <c r="Q795" s="247">
        <f t="shared" si="332"/>
        <v>236</v>
      </c>
      <c r="AF795" s="17"/>
      <c r="AG795" s="17"/>
      <c r="AH795" s="17"/>
      <c r="AI795" s="17"/>
    </row>
    <row r="796" spans="1:35" x14ac:dyDescent="0.25">
      <c r="A796" s="21">
        <f>A$8</f>
        <v>1484</v>
      </c>
      <c r="B796" s="149">
        <f t="shared" si="333"/>
        <v>-7.3578595317725752E-3</v>
      </c>
      <c r="C796" s="52">
        <f t="shared" ref="C796:C807" si="335">C795+1</f>
        <v>4</v>
      </c>
      <c r="D796" s="247">
        <f>'Appendix J-2'!S51</f>
        <v>144</v>
      </c>
      <c r="E796" s="22">
        <f t="shared" si="329"/>
        <v>1768.7152777777778</v>
      </c>
      <c r="F796" s="247">
        <f>'Appendix J-2'!U51</f>
        <v>254695</v>
      </c>
      <c r="G796" s="24">
        <f t="shared" si="330"/>
        <v>10.607770431300182</v>
      </c>
      <c r="H796" s="248">
        <f>'Appendix J-2'!W51</f>
        <v>2701746.09</v>
      </c>
      <c r="I796" s="688"/>
      <c r="J796" s="205"/>
      <c r="N796" s="21">
        <f t="shared" si="331"/>
        <v>1484</v>
      </c>
      <c r="O796" s="149">
        <f t="shared" si="334"/>
        <v>-7.3578595317725752E-3</v>
      </c>
      <c r="P796" s="52">
        <f t="shared" ref="P796:P807" si="336">P795+1</f>
        <v>4</v>
      </c>
      <c r="Q796" s="247">
        <f t="shared" si="332"/>
        <v>300</v>
      </c>
      <c r="AF796" s="17"/>
      <c r="AG796" s="17"/>
      <c r="AH796" s="17"/>
      <c r="AI796" s="17"/>
    </row>
    <row r="797" spans="1:35" x14ac:dyDescent="0.25">
      <c r="A797" s="21">
        <f>A$9</f>
        <v>1528</v>
      </c>
      <c r="B797" s="149">
        <f t="shared" si="333"/>
        <v>2.9649595687331536E-2</v>
      </c>
      <c r="C797" s="52">
        <f t="shared" si="335"/>
        <v>5</v>
      </c>
      <c r="D797" s="247">
        <f>'Appendix J-2'!X51</f>
        <v>98</v>
      </c>
      <c r="E797" s="22">
        <f t="shared" si="329"/>
        <v>869.70408163265301</v>
      </c>
      <c r="F797" s="247">
        <f>'Appendix J-2'!Z51</f>
        <v>85231</v>
      </c>
      <c r="G797" s="24">
        <f t="shared" si="330"/>
        <v>10.658872358648848</v>
      </c>
      <c r="H797" s="248">
        <f>'Appendix J-2'!AB51</f>
        <v>908466.35</v>
      </c>
      <c r="I797" s="688"/>
      <c r="J797" s="205"/>
      <c r="N797" s="21">
        <f t="shared" si="331"/>
        <v>1528</v>
      </c>
      <c r="O797" s="149">
        <f t="shared" si="334"/>
        <v>2.9649595687331536E-2</v>
      </c>
      <c r="P797" s="52">
        <f t="shared" si="336"/>
        <v>5</v>
      </c>
      <c r="Q797" s="247">
        <f t="shared" si="332"/>
        <v>209</v>
      </c>
      <c r="AF797" s="17"/>
      <c r="AG797" s="17"/>
      <c r="AH797" s="17"/>
      <c r="AI797" s="17"/>
    </row>
    <row r="798" spans="1:35" x14ac:dyDescent="0.25">
      <c r="A798" s="21">
        <f>A$10</f>
        <v>1592</v>
      </c>
      <c r="B798" s="149">
        <f t="shared" si="333"/>
        <v>4.1884816753926704E-2</v>
      </c>
      <c r="C798" s="20">
        <f t="shared" si="335"/>
        <v>6</v>
      </c>
      <c r="D798" s="249">
        <f>'Appendix J-2'!AC51</f>
        <v>69</v>
      </c>
      <c r="E798" s="22">
        <f t="shared" si="329"/>
        <v>703.97101449275362</v>
      </c>
      <c r="F798" s="249">
        <f>'Appendix J-2'!AE51</f>
        <v>48574</v>
      </c>
      <c r="G798" s="24">
        <f t="shared" si="330"/>
        <v>10.369691192819204</v>
      </c>
      <c r="H798" s="248">
        <f>'Appendix J-2'!AG51</f>
        <v>503697.38</v>
      </c>
      <c r="I798" s="688"/>
      <c r="J798" s="205"/>
      <c r="N798" s="21">
        <f t="shared" si="331"/>
        <v>1592</v>
      </c>
      <c r="O798" s="149">
        <f t="shared" si="334"/>
        <v>4.1884816753926704E-2</v>
      </c>
      <c r="P798" s="20">
        <f t="shared" si="336"/>
        <v>6</v>
      </c>
      <c r="Q798" s="247">
        <f t="shared" si="332"/>
        <v>175</v>
      </c>
      <c r="AF798" s="17"/>
      <c r="AG798" s="17"/>
      <c r="AH798" s="17"/>
      <c r="AI798" s="17"/>
    </row>
    <row r="799" spans="1:35" x14ac:dyDescent="0.25">
      <c r="A799" s="21">
        <f>A$11</f>
        <v>1642</v>
      </c>
      <c r="B799" s="149">
        <f t="shared" si="333"/>
        <v>3.1407035175879394E-2</v>
      </c>
      <c r="C799" s="20">
        <f t="shared" si="335"/>
        <v>7</v>
      </c>
      <c r="D799" s="249">
        <f>'Appendix J-2'!AH51</f>
        <v>49</v>
      </c>
      <c r="E799" s="22">
        <f t="shared" si="329"/>
        <v>1100.6734693877552</v>
      </c>
      <c r="F799" s="249">
        <f>'Appendix J-2'!AJ51</f>
        <v>53933</v>
      </c>
      <c r="G799" s="24">
        <f t="shared" si="330"/>
        <v>10.680415144716594</v>
      </c>
      <c r="H799" s="248">
        <f>'Appendix J-2'!AL51</f>
        <v>576026.83000000007</v>
      </c>
      <c r="I799" s="688"/>
      <c r="J799" s="205"/>
      <c r="N799" s="21">
        <f t="shared" si="331"/>
        <v>1642</v>
      </c>
      <c r="O799" s="149">
        <f t="shared" si="334"/>
        <v>3.1407035175879394E-2</v>
      </c>
      <c r="P799" s="20">
        <f t="shared" si="336"/>
        <v>7</v>
      </c>
      <c r="Q799" s="247">
        <f t="shared" si="332"/>
        <v>134</v>
      </c>
      <c r="R799" s="31" t="s">
        <v>640</v>
      </c>
      <c r="AF799" s="17"/>
      <c r="AG799" s="17"/>
      <c r="AH799" s="17"/>
      <c r="AI799" s="17"/>
    </row>
    <row r="800" spans="1:35" x14ac:dyDescent="0.25">
      <c r="A800" s="21">
        <f>A$12</f>
        <v>1675</v>
      </c>
      <c r="B800" s="149">
        <f t="shared" si="333"/>
        <v>2.0097442143727162E-2</v>
      </c>
      <c r="C800" s="20">
        <f t="shared" si="335"/>
        <v>8</v>
      </c>
      <c r="D800" s="249">
        <f>'Appendix J-2'!AM51</f>
        <v>54</v>
      </c>
      <c r="E800" s="22">
        <f t="shared" si="329"/>
        <v>1511.5555555555557</v>
      </c>
      <c r="F800" s="249">
        <f>'Appendix J-2'!AO51</f>
        <v>81624</v>
      </c>
      <c r="G800" s="24">
        <f t="shared" si="330"/>
        <v>10.692096932274822</v>
      </c>
      <c r="H800" s="248">
        <f>'Appendix J-2'!AQ51</f>
        <v>872731.72000000009</v>
      </c>
      <c r="I800" s="688"/>
      <c r="J800" s="205"/>
      <c r="N800" s="21">
        <f t="shared" si="331"/>
        <v>1675</v>
      </c>
      <c r="O800" s="149">
        <f t="shared" si="334"/>
        <v>2.0097442143727162E-2</v>
      </c>
      <c r="P800" s="20">
        <f t="shared" si="336"/>
        <v>8</v>
      </c>
      <c r="Q800" s="247">
        <f t="shared" si="332"/>
        <v>110</v>
      </c>
      <c r="R800" s="428" t="s">
        <v>622</v>
      </c>
      <c r="S800" s="427"/>
      <c r="T800" s="686"/>
      <c r="U800" s="686"/>
      <c r="V800" s="686"/>
      <c r="W800" s="686"/>
      <c r="AF800" s="17"/>
      <c r="AG800" s="17"/>
      <c r="AH800" s="17"/>
      <c r="AI800" s="17"/>
    </row>
    <row r="801" spans="1:35" x14ac:dyDescent="0.25">
      <c r="A801" s="21">
        <f>A$13</f>
        <v>1739</v>
      </c>
      <c r="B801" s="149">
        <f t="shared" si="333"/>
        <v>3.8208955223880597E-2</v>
      </c>
      <c r="C801" s="20">
        <f t="shared" si="335"/>
        <v>9</v>
      </c>
      <c r="D801" s="249">
        <f>'Appendix J-2'!AR51</f>
        <v>61</v>
      </c>
      <c r="E801" s="22">
        <f t="shared" si="329"/>
        <v>931.81967213114751</v>
      </c>
      <c r="F801" s="249">
        <f>'Appendix J-2'!AT51</f>
        <v>56841</v>
      </c>
      <c r="G801" s="24">
        <f t="shared" si="330"/>
        <v>11.319645854224943</v>
      </c>
      <c r="H801" s="248">
        <f>'Appendix J-2'!AV51</f>
        <v>643419.99</v>
      </c>
      <c r="I801" s="688"/>
      <c r="J801" s="205"/>
      <c r="N801" s="21">
        <f t="shared" si="331"/>
        <v>1739</v>
      </c>
      <c r="O801" s="149">
        <f t="shared" si="334"/>
        <v>3.8208955223880597E-2</v>
      </c>
      <c r="P801" s="20">
        <f t="shared" si="336"/>
        <v>9</v>
      </c>
      <c r="Q801" s="247">
        <f t="shared" si="332"/>
        <v>136</v>
      </c>
      <c r="R801" s="422" t="s">
        <v>154</v>
      </c>
      <c r="S801" s="422"/>
      <c r="T801" s="424"/>
      <c r="U801" s="424"/>
      <c r="V801" s="424"/>
      <c r="W801" s="424"/>
      <c r="AF801" s="17"/>
      <c r="AG801" s="17"/>
      <c r="AH801" s="17"/>
      <c r="AI801" s="17"/>
    </row>
    <row r="802" spans="1:35" x14ac:dyDescent="0.25">
      <c r="A802" s="21">
        <f>A$14</f>
        <v>1752</v>
      </c>
      <c r="B802" s="149">
        <f t="shared" si="333"/>
        <v>7.4755606670500289E-3</v>
      </c>
      <c r="C802" s="20">
        <f t="shared" si="335"/>
        <v>10</v>
      </c>
      <c r="D802" s="21">
        <f>ROUND(TREND($D$793:$D$801,$A$793:$A$801,A802),0)</f>
        <v>71</v>
      </c>
      <c r="E802" s="22">
        <f>TREND($E$797:$E$801,$C$797:$C$801,C802)</f>
        <v>1303.0894752579102</v>
      </c>
      <c r="F802" s="21">
        <f>D802*E802</f>
        <v>92519.352743311625</v>
      </c>
      <c r="G802" s="24">
        <f>'DDS Rates for Amend'!AS17</f>
        <v>11.98</v>
      </c>
      <c r="H802" s="33">
        <f>F802*G802</f>
        <v>1108381.8458648734</v>
      </c>
      <c r="I802" s="688"/>
      <c r="J802" s="205"/>
      <c r="N802" s="21">
        <f t="shared" si="331"/>
        <v>1752</v>
      </c>
      <c r="O802" s="149">
        <f t="shared" si="334"/>
        <v>7.4755606670500289E-3</v>
      </c>
      <c r="P802" s="20">
        <f t="shared" si="336"/>
        <v>10</v>
      </c>
      <c r="Q802" s="322">
        <f>ROUND((TREND($Q$793:$Q$801,$N$793:$N$801,N802)),0)</f>
        <v>150</v>
      </c>
      <c r="R802" s="407">
        <v>0</v>
      </c>
      <c r="S802" s="421"/>
      <c r="T802" s="425"/>
      <c r="U802" s="426"/>
      <c r="V802" s="425"/>
      <c r="W802" s="426"/>
      <c r="AF802" s="17"/>
      <c r="AG802" s="17"/>
      <c r="AH802" s="17"/>
      <c r="AI802" s="17"/>
    </row>
    <row r="803" spans="1:35" x14ac:dyDescent="0.25">
      <c r="A803" s="21">
        <f>A$15</f>
        <v>1822</v>
      </c>
      <c r="B803" s="149">
        <f t="shared" si="333"/>
        <v>3.9954337899543377E-2</v>
      </c>
      <c r="C803" s="20">
        <f t="shared" si="335"/>
        <v>11</v>
      </c>
      <c r="D803" s="21">
        <f>ROUND(TREND($D$793:$D$801,$A$793:$A$801,A803),0)</f>
        <v>68</v>
      </c>
      <c r="E803" s="22">
        <f t="shared" ref="E803:E807" si="337">TREND($E$797:$E$801,$C$797:$C$801,C803)</f>
        <v>1396.2710474638893</v>
      </c>
      <c r="F803" s="21">
        <f t="shared" ref="F803:F807" si="338">D803*E803</f>
        <v>94946.431227544468</v>
      </c>
      <c r="G803" s="24">
        <f>'DDS Rates for Amend'!AS18</f>
        <v>12.61</v>
      </c>
      <c r="H803" s="33">
        <f t="shared" ref="H803:H807" si="339">F803*G803</f>
        <v>1197274.4977793356</v>
      </c>
      <c r="I803" s="688"/>
      <c r="J803" s="205"/>
      <c r="N803" s="21">
        <f t="shared" si="331"/>
        <v>1822</v>
      </c>
      <c r="O803" s="149">
        <f t="shared" si="334"/>
        <v>3.9954337899543377E-2</v>
      </c>
      <c r="P803" s="20">
        <f t="shared" si="336"/>
        <v>11</v>
      </c>
      <c r="Q803" s="322">
        <f t="shared" ref="Q803:Q807" si="340">ROUND((TREND($Q$793:$Q$801,$N$793:$N$801,N803)),0)</f>
        <v>139</v>
      </c>
      <c r="R803" s="407">
        <v>0</v>
      </c>
      <c r="S803" s="421"/>
      <c r="T803" s="425"/>
      <c r="U803" s="426"/>
      <c r="V803" s="425"/>
      <c r="W803" s="426"/>
      <c r="AF803" s="17"/>
      <c r="AG803" s="17"/>
      <c r="AH803" s="17"/>
      <c r="AI803" s="17"/>
    </row>
    <row r="804" spans="1:35" x14ac:dyDescent="0.25">
      <c r="A804" s="21">
        <f>A$16</f>
        <v>1872</v>
      </c>
      <c r="B804" s="149">
        <f t="shared" si="333"/>
        <v>2.7442371020856202E-2</v>
      </c>
      <c r="C804" s="20">
        <f t="shared" si="335"/>
        <v>12</v>
      </c>
      <c r="D804" s="21">
        <f>ROUND(TREND($D$793:$D$801,$A$793:$A$801,A804),0)+14-S804</f>
        <v>47</v>
      </c>
      <c r="E804" s="22">
        <f t="shared" si="337"/>
        <v>1489.4526196698685</v>
      </c>
      <c r="F804" s="21">
        <f t="shared" si="338"/>
        <v>70004.273124483821</v>
      </c>
      <c r="G804" s="24">
        <f>'DDS Rates for Amend'!AS19</f>
        <v>12.937859999999999</v>
      </c>
      <c r="H804" s="33">
        <f t="shared" si="339"/>
        <v>905705.48508633417</v>
      </c>
      <c r="I804" s="688"/>
      <c r="J804" s="205"/>
      <c r="N804" s="21">
        <f t="shared" si="331"/>
        <v>1872</v>
      </c>
      <c r="O804" s="149">
        <f t="shared" si="334"/>
        <v>2.7442371020856202E-2</v>
      </c>
      <c r="P804" s="20">
        <f t="shared" si="336"/>
        <v>12</v>
      </c>
      <c r="Q804" s="322">
        <f t="shared" si="340"/>
        <v>130</v>
      </c>
      <c r="R804" s="470">
        <f>ROUND(Q804*0.25,0)</f>
        <v>33</v>
      </c>
      <c r="S804" s="470">
        <f>ROUND(Q804*0.25,0)</f>
        <v>33</v>
      </c>
      <c r="T804" s="425"/>
      <c r="U804" s="426"/>
      <c r="V804" s="425"/>
      <c r="W804" s="426"/>
      <c r="AF804" s="17"/>
      <c r="AG804" s="17"/>
      <c r="AH804" s="17"/>
      <c r="AI804" s="17"/>
    </row>
    <row r="805" spans="1:35" x14ac:dyDescent="0.25">
      <c r="A805" s="21">
        <f>A$17</f>
        <v>1902</v>
      </c>
      <c r="B805" s="149">
        <f t="shared" si="333"/>
        <v>1.6025641025641024E-2</v>
      </c>
      <c r="C805" s="20">
        <f t="shared" si="335"/>
        <v>13</v>
      </c>
      <c r="D805" s="21">
        <f>ROUND(TREND($D$793:$D$801,$A$793:$A$801,A805),0)+15-S805</f>
        <v>17</v>
      </c>
      <c r="E805" s="22">
        <f t="shared" si="337"/>
        <v>1582.6341918758476</v>
      </c>
      <c r="F805" s="21">
        <f t="shared" si="338"/>
        <v>26904.78126188941</v>
      </c>
      <c r="G805" s="24">
        <f>'DDS Rates for Amend'!AS20</f>
        <v>13.274244359999999</v>
      </c>
      <c r="H805" s="33">
        <f t="shared" si="339"/>
        <v>357140.64092266915</v>
      </c>
      <c r="I805" s="688"/>
      <c r="J805" s="205"/>
      <c r="N805" s="21">
        <f t="shared" si="331"/>
        <v>1902</v>
      </c>
      <c r="O805" s="149">
        <f t="shared" si="334"/>
        <v>1.6025641025641024E-2</v>
      </c>
      <c r="P805" s="20">
        <f t="shared" si="336"/>
        <v>13</v>
      </c>
      <c r="Q805" s="322">
        <f t="shared" si="340"/>
        <v>125</v>
      </c>
      <c r="R805" s="470">
        <f>ROUND((Q805*0.5),0)+R804</f>
        <v>96</v>
      </c>
      <c r="S805" s="470">
        <f>ROUND((Q805*0.5),0)</f>
        <v>63</v>
      </c>
      <c r="T805" s="425"/>
      <c r="U805" s="426"/>
      <c r="V805" s="425"/>
      <c r="W805" s="426"/>
      <c r="AF805" s="17"/>
      <c r="AG805" s="17"/>
      <c r="AH805" s="17"/>
      <c r="AI805" s="17"/>
    </row>
    <row r="806" spans="1:35" x14ac:dyDescent="0.25">
      <c r="A806" s="21">
        <f>A$18</f>
        <v>1932</v>
      </c>
      <c r="B806" s="149">
        <f t="shared" si="333"/>
        <v>1.5772870662460567E-2</v>
      </c>
      <c r="C806" s="20">
        <f t="shared" si="335"/>
        <v>14</v>
      </c>
      <c r="D806" s="21">
        <f>ROUND(TREND($D$793:$D$801,$A$793:$A$801,A806),0)+4-S806</f>
        <v>7</v>
      </c>
      <c r="E806" s="22">
        <f t="shared" si="337"/>
        <v>1675.8157640818265</v>
      </c>
      <c r="F806" s="21">
        <f t="shared" si="338"/>
        <v>11730.710348572786</v>
      </c>
      <c r="G806" s="24">
        <f>'DDS Rates for Amend'!AS21</f>
        <v>13.619374713359999</v>
      </c>
      <c r="H806" s="33">
        <f t="shared" si="339"/>
        <v>159764.93989110267</v>
      </c>
      <c r="I806" s="688"/>
      <c r="J806" s="205"/>
      <c r="N806" s="21">
        <f t="shared" si="331"/>
        <v>1932</v>
      </c>
      <c r="O806" s="149">
        <f t="shared" si="334"/>
        <v>1.5772870662460567E-2</v>
      </c>
      <c r="P806" s="20">
        <f t="shared" si="336"/>
        <v>14</v>
      </c>
      <c r="Q806" s="322">
        <f t="shared" si="340"/>
        <v>120</v>
      </c>
      <c r="R806" s="470">
        <f>ROUND((Q806*0.5),0)+R805</f>
        <v>156</v>
      </c>
      <c r="S806" s="470">
        <f>ROUND((Q806*0.5),0)</f>
        <v>60</v>
      </c>
      <c r="T806" s="425"/>
      <c r="U806" s="426"/>
      <c r="V806" s="425"/>
      <c r="W806" s="426"/>
      <c r="AF806" s="17"/>
      <c r="AG806" s="17"/>
      <c r="AH806" s="17"/>
      <c r="AI806" s="17"/>
    </row>
    <row r="807" spans="1:35" x14ac:dyDescent="0.25">
      <c r="A807" s="21">
        <f>A$19</f>
        <v>1962</v>
      </c>
      <c r="B807" s="149">
        <f t="shared" si="333"/>
        <v>1.5527950310559006E-2</v>
      </c>
      <c r="C807" s="20">
        <f t="shared" si="335"/>
        <v>15</v>
      </c>
      <c r="D807" s="21">
        <f>ROUND(TREND($D$793:$D$801,$A$793:$A$801,A807),0)+4-14-15-4-4</f>
        <v>29</v>
      </c>
      <c r="E807" s="22">
        <f t="shared" si="337"/>
        <v>1768.9973362878056</v>
      </c>
      <c r="F807" s="21">
        <f t="shared" si="338"/>
        <v>51300.922752346363</v>
      </c>
      <c r="G807" s="24">
        <f>'DDS Rates for Amend'!AS22</f>
        <v>13.97347845590736</v>
      </c>
      <c r="H807" s="33">
        <f t="shared" si="339"/>
        <v>716852.33884807955</v>
      </c>
      <c r="I807" s="689"/>
      <c r="J807" s="205"/>
      <c r="K807" s="285">
        <f>SUM(H793:H807)</f>
        <v>16876336.468392394</v>
      </c>
      <c r="L807" s="17">
        <f>IF(K807='Appendix J-2'!CD51,0,error)</f>
        <v>0</v>
      </c>
      <c r="N807" s="21">
        <f t="shared" si="331"/>
        <v>1962</v>
      </c>
      <c r="O807" s="149">
        <f t="shared" si="334"/>
        <v>1.5527950310559006E-2</v>
      </c>
      <c r="P807" s="20">
        <f t="shared" si="336"/>
        <v>15</v>
      </c>
      <c r="Q807" s="322">
        <f t="shared" si="340"/>
        <v>116</v>
      </c>
      <c r="R807" s="470">
        <f>R806</f>
        <v>156</v>
      </c>
      <c r="S807" s="470">
        <f>S806</f>
        <v>60</v>
      </c>
      <c r="T807" s="425"/>
      <c r="U807" s="426"/>
      <c r="V807" s="425"/>
      <c r="W807" s="426"/>
      <c r="AF807" s="17"/>
      <c r="AG807" s="17"/>
      <c r="AH807" s="17"/>
      <c r="AI807" s="17"/>
    </row>
    <row r="808" spans="1:35" x14ac:dyDescent="0.25">
      <c r="C808"/>
      <c r="I808" s="568"/>
      <c r="J808"/>
      <c r="V808" s="425"/>
      <c r="W808" s="425"/>
      <c r="X808" s="425"/>
      <c r="Y808" s="425"/>
    </row>
    <row r="809" spans="1:35" x14ac:dyDescent="0.25">
      <c r="A809" s="271" t="s">
        <v>62</v>
      </c>
      <c r="B809" s="272"/>
      <c r="C809" s="272"/>
      <c r="D809" s="292" t="str">
        <f>'Appendix J-2'!B52</f>
        <v>Visit</v>
      </c>
      <c r="E809" s="223" t="str">
        <f>'Appendix J-2'!C52</f>
        <v>15 minutes</v>
      </c>
      <c r="F809" s="690"/>
      <c r="G809" s="690"/>
      <c r="H809" s="690"/>
      <c r="I809" s="687" t="s">
        <v>1139</v>
      </c>
      <c r="J809" s="205"/>
    </row>
    <row r="810" spans="1:35" x14ac:dyDescent="0.25">
      <c r="A810" s="147" t="s">
        <v>26</v>
      </c>
      <c r="B810" s="147" t="s">
        <v>27</v>
      </c>
      <c r="C810" s="50" t="s">
        <v>166</v>
      </c>
      <c r="D810" s="91" t="s">
        <v>154</v>
      </c>
      <c r="E810" s="89" t="s">
        <v>155</v>
      </c>
      <c r="F810" s="34" t="s">
        <v>158</v>
      </c>
      <c r="G810" s="35" t="s">
        <v>156</v>
      </c>
      <c r="H810" s="51" t="s">
        <v>157</v>
      </c>
      <c r="I810" s="688"/>
      <c r="J810" s="205"/>
    </row>
    <row r="811" spans="1:35" ht="15" customHeight="1" x14ac:dyDescent="0.25">
      <c r="A811" s="21">
        <f>A$5</f>
        <v>1182</v>
      </c>
      <c r="B811" s="148"/>
      <c r="C811" s="144">
        <v>1</v>
      </c>
      <c r="D811" s="247">
        <f>'Appendix J-2'!D52</f>
        <v>128</v>
      </c>
      <c r="E811" s="22">
        <f>IF(F811=0,0,F811/D811)</f>
        <v>2000</v>
      </c>
      <c r="F811" s="247">
        <f>'Appendix J-2'!F52</f>
        <v>256000</v>
      </c>
      <c r="G811" s="24">
        <f>H811/F811</f>
        <v>6.3253833984374994</v>
      </c>
      <c r="H811" s="250">
        <f>'Appendix J-2'!H52</f>
        <v>1619298.15</v>
      </c>
      <c r="I811" s="688"/>
      <c r="J811" s="205"/>
    </row>
    <row r="812" spans="1:35" x14ac:dyDescent="0.25">
      <c r="A812" s="21">
        <f>A$6</f>
        <v>1288</v>
      </c>
      <c r="B812" s="149">
        <f>(A812-A811)/A811</f>
        <v>8.9678510998307953E-2</v>
      </c>
      <c r="C812" s="52">
        <v>2</v>
      </c>
      <c r="D812" s="247">
        <f>'Appendix J-2'!I52</f>
        <v>130</v>
      </c>
      <c r="E812" s="22">
        <f t="shared" ref="E812:E819" si="341">IF(F812=0,0,F812/D812)</f>
        <v>2255.1076923076921</v>
      </c>
      <c r="F812" s="247">
        <f>'Appendix J-2'!K52</f>
        <v>293164</v>
      </c>
      <c r="G812" s="24">
        <f t="shared" ref="G812:G819" si="342">H812/F812</f>
        <v>6.3277232879889764</v>
      </c>
      <c r="H812" s="250">
        <f>'Appendix J-2'!M52</f>
        <v>1855060.6700000004</v>
      </c>
      <c r="I812" s="688"/>
      <c r="J812" s="205"/>
    </row>
    <row r="813" spans="1:35" x14ac:dyDescent="0.25">
      <c r="A813" s="21">
        <f>A$7</f>
        <v>1495</v>
      </c>
      <c r="B813" s="149">
        <f t="shared" ref="B813:B825" si="343">(A813-A812)/A812</f>
        <v>0.16071428571428573</v>
      </c>
      <c r="C813" s="52">
        <v>3</v>
      </c>
      <c r="D813" s="247">
        <f>'Appendix J-2'!N52</f>
        <v>133</v>
      </c>
      <c r="E813" s="22">
        <f t="shared" si="341"/>
        <v>2278.3834586466164</v>
      </c>
      <c r="F813" s="247">
        <f>'Appendix J-2'!P52</f>
        <v>303025</v>
      </c>
      <c r="G813" s="24">
        <f t="shared" si="342"/>
        <v>6.3276792343866015</v>
      </c>
      <c r="H813" s="248">
        <f>'Appendix J-2'!R52</f>
        <v>1917445</v>
      </c>
      <c r="I813" s="688"/>
      <c r="J813" s="205"/>
    </row>
    <row r="814" spans="1:35" x14ac:dyDescent="0.25">
      <c r="A814" s="21">
        <f>A$8</f>
        <v>1484</v>
      </c>
      <c r="B814" s="149">
        <f t="shared" si="343"/>
        <v>-7.3578595317725752E-3</v>
      </c>
      <c r="C814" s="52">
        <f t="shared" ref="C814:C825" si="344">C813+1</f>
        <v>4</v>
      </c>
      <c r="D814" s="247">
        <f>'Appendix J-2'!S52</f>
        <v>156</v>
      </c>
      <c r="E814" s="22">
        <f t="shared" si="341"/>
        <v>1709.9551282051282</v>
      </c>
      <c r="F814" s="247">
        <f>'Appendix J-2'!U52</f>
        <v>266753</v>
      </c>
      <c r="G814" s="24">
        <f t="shared" si="342"/>
        <v>6.3015359902231651</v>
      </c>
      <c r="H814" s="248">
        <f>'Appendix J-2'!W52</f>
        <v>1680953.63</v>
      </c>
      <c r="I814" s="688"/>
      <c r="J814" s="205"/>
    </row>
    <row r="815" spans="1:35" x14ac:dyDescent="0.25">
      <c r="A815" s="21">
        <f>A$9</f>
        <v>1528</v>
      </c>
      <c r="B815" s="149">
        <f t="shared" si="343"/>
        <v>2.9649595687331536E-2</v>
      </c>
      <c r="C815" s="52">
        <f t="shared" si="344"/>
        <v>5</v>
      </c>
      <c r="D815" s="247">
        <f>'Appendix J-2'!X52</f>
        <v>111</v>
      </c>
      <c r="E815" s="22">
        <f t="shared" si="341"/>
        <v>812.36936936936934</v>
      </c>
      <c r="F815" s="247">
        <f>'Appendix J-2'!Z52</f>
        <v>90173</v>
      </c>
      <c r="G815" s="24">
        <f t="shared" si="342"/>
        <v>6.3230542401827599</v>
      </c>
      <c r="H815" s="248">
        <f>'Appendix J-2'!AB52</f>
        <v>570168.77</v>
      </c>
      <c r="I815" s="688"/>
      <c r="J815" s="205"/>
    </row>
    <row r="816" spans="1:35" x14ac:dyDescent="0.25">
      <c r="A816" s="21">
        <f>A$10</f>
        <v>1592</v>
      </c>
      <c r="B816" s="149">
        <f t="shared" si="343"/>
        <v>4.1884816753926704E-2</v>
      </c>
      <c r="C816" s="20">
        <f t="shared" si="344"/>
        <v>6</v>
      </c>
      <c r="D816" s="249">
        <f>'Appendix J-2'!AC52</f>
        <v>106</v>
      </c>
      <c r="E816" s="22">
        <f t="shared" si="341"/>
        <v>547.30188679245282</v>
      </c>
      <c r="F816" s="249">
        <f>'Appendix J-2'!AE52</f>
        <v>58014</v>
      </c>
      <c r="G816" s="24">
        <f t="shared" si="342"/>
        <v>6.2731166614955018</v>
      </c>
      <c r="H816" s="248">
        <f>'Appendix J-2'!AG52</f>
        <v>363928.59</v>
      </c>
      <c r="I816" s="688"/>
      <c r="J816" s="205"/>
    </row>
    <row r="817" spans="1:56" x14ac:dyDescent="0.25">
      <c r="A817" s="21">
        <f>A$11</f>
        <v>1642</v>
      </c>
      <c r="B817" s="149">
        <f t="shared" si="343"/>
        <v>3.1407035175879394E-2</v>
      </c>
      <c r="C817" s="20">
        <f t="shared" si="344"/>
        <v>7</v>
      </c>
      <c r="D817" s="249">
        <f>'Appendix J-2'!AH52</f>
        <v>85</v>
      </c>
      <c r="E817" s="22">
        <f t="shared" si="341"/>
        <v>551.34117647058827</v>
      </c>
      <c r="F817" s="249">
        <f>'Appendix J-2'!AJ52</f>
        <v>46864</v>
      </c>
      <c r="G817" s="24">
        <f t="shared" si="342"/>
        <v>6.1829314612495736</v>
      </c>
      <c r="H817" s="248">
        <f>'Appendix J-2'!AL52</f>
        <v>289756.90000000002</v>
      </c>
      <c r="I817" s="688"/>
      <c r="J817" s="205"/>
    </row>
    <row r="818" spans="1:56" x14ac:dyDescent="0.25">
      <c r="A818" s="21">
        <f>A$12</f>
        <v>1675</v>
      </c>
      <c r="B818" s="149">
        <f t="shared" si="343"/>
        <v>2.0097442143727162E-2</v>
      </c>
      <c r="C818" s="20">
        <f t="shared" si="344"/>
        <v>8</v>
      </c>
      <c r="D818" s="249">
        <f>'Appendix J-2'!AM52</f>
        <v>56</v>
      </c>
      <c r="E818" s="22">
        <f t="shared" si="341"/>
        <v>823.53571428571433</v>
      </c>
      <c r="F818" s="249">
        <f>'Appendix J-2'!AO52</f>
        <v>46118</v>
      </c>
      <c r="G818" s="24">
        <f t="shared" si="342"/>
        <v>6.3142929008196367</v>
      </c>
      <c r="H818" s="248">
        <f>'Appendix J-2'!AQ52</f>
        <v>291202.56</v>
      </c>
      <c r="I818" s="688"/>
      <c r="J818" s="205"/>
    </row>
    <row r="819" spans="1:56" x14ac:dyDescent="0.25">
      <c r="A819" s="21">
        <f>A$13</f>
        <v>1739</v>
      </c>
      <c r="B819" s="149">
        <f t="shared" si="343"/>
        <v>3.8208955223880597E-2</v>
      </c>
      <c r="C819" s="20">
        <f t="shared" si="344"/>
        <v>9</v>
      </c>
      <c r="D819" s="249">
        <f>'Appendix J-2'!AR52</f>
        <v>75</v>
      </c>
      <c r="E819" s="22">
        <f t="shared" si="341"/>
        <v>837.86666666666667</v>
      </c>
      <c r="F819" s="249">
        <f>'Appendix J-2'!AT52</f>
        <v>62840</v>
      </c>
      <c r="G819" s="24">
        <f t="shared" si="342"/>
        <v>6.9309807447485667</v>
      </c>
      <c r="H819" s="248">
        <f>'Appendix J-2'!AV52</f>
        <v>435542.82999999996</v>
      </c>
      <c r="I819" s="688"/>
      <c r="J819" s="205"/>
    </row>
    <row r="820" spans="1:56" x14ac:dyDescent="0.25">
      <c r="A820" s="21">
        <f>A$14</f>
        <v>1752</v>
      </c>
      <c r="B820" s="149">
        <f t="shared" si="343"/>
        <v>7.4755606670500289E-3</v>
      </c>
      <c r="C820" s="20">
        <f t="shared" si="344"/>
        <v>10</v>
      </c>
      <c r="D820" s="21">
        <f>ROUND(TREND($D$811:$D$819,$A$811:$A$819,A820),0)</f>
        <v>79</v>
      </c>
      <c r="E820" s="22">
        <f>TREND($E$815:$E$819,$C$815:$C$819,C820)</f>
        <v>812.65148934331501</v>
      </c>
      <c r="F820" s="21">
        <f>D820*E820</f>
        <v>64199.467658121888</v>
      </c>
      <c r="G820" s="24">
        <f>'DDS Rates for Amend'!AT17</f>
        <v>7.21</v>
      </c>
      <c r="H820" s="33">
        <f>F820*G820</f>
        <v>462878.16181505879</v>
      </c>
      <c r="I820" s="688"/>
      <c r="J820" s="205"/>
    </row>
    <row r="821" spans="1:56" x14ac:dyDescent="0.25">
      <c r="A821" s="21">
        <f>A$15</f>
        <v>1822</v>
      </c>
      <c r="B821" s="149">
        <f t="shared" si="343"/>
        <v>3.9954337899543377E-2</v>
      </c>
      <c r="C821" s="20">
        <f t="shared" si="344"/>
        <v>11</v>
      </c>
      <c r="D821" s="21">
        <f>ROUND(TREND($D$811:$D$819,$A$811:$A$819,A821),0)</f>
        <v>71</v>
      </c>
      <c r="E821" s="22">
        <f t="shared" ref="E821:E825" si="345">TREND($E$815:$E$819,$C$815:$C$819,C821)</f>
        <v>845.37433155210067</v>
      </c>
      <c r="F821" s="21">
        <f t="shared" ref="F821:F825" si="346">D821*E821</f>
        <v>60021.577540199149</v>
      </c>
      <c r="G821" s="24">
        <f>'DDS Rates for Amend'!AT18</f>
        <v>6.92</v>
      </c>
      <c r="H821" s="33">
        <f t="shared" ref="H821:H825" si="347">F821*G821</f>
        <v>415349.31657817808</v>
      </c>
      <c r="I821" s="688"/>
      <c r="J821" s="205"/>
    </row>
    <row r="822" spans="1:56" x14ac:dyDescent="0.25">
      <c r="A822" s="21">
        <f>A$16</f>
        <v>1872</v>
      </c>
      <c r="B822" s="149">
        <f t="shared" si="343"/>
        <v>2.7442371020856202E-2</v>
      </c>
      <c r="C822" s="20">
        <f t="shared" si="344"/>
        <v>12</v>
      </c>
      <c r="D822" s="21">
        <f>ROUND(TREND($D$811:$D$819,$A$811:$A$819,A822),0)+14-S804</f>
        <v>46</v>
      </c>
      <c r="E822" s="22">
        <f t="shared" si="345"/>
        <v>878.09717376088634</v>
      </c>
      <c r="F822" s="21">
        <f t="shared" si="346"/>
        <v>40392.46999300077</v>
      </c>
      <c r="G822" s="24">
        <f>'DDS Rates for Amend'!AT19</f>
        <v>7.09992</v>
      </c>
      <c r="H822" s="33">
        <f t="shared" si="347"/>
        <v>286783.30555270601</v>
      </c>
      <c r="I822" s="688"/>
      <c r="J822" s="205"/>
    </row>
    <row r="823" spans="1:56" x14ac:dyDescent="0.25">
      <c r="A823" s="21">
        <f>A$17</f>
        <v>1902</v>
      </c>
      <c r="B823" s="149">
        <f t="shared" si="343"/>
        <v>1.6025641025641024E-2</v>
      </c>
      <c r="C823" s="20">
        <f t="shared" si="344"/>
        <v>13</v>
      </c>
      <c r="D823" s="21">
        <f>ROUND(TREND($D$811:$D$819,$A$811:$A$819,A823),0)+15-S805</f>
        <v>13</v>
      </c>
      <c r="E823" s="22">
        <f t="shared" si="345"/>
        <v>910.82001596967189</v>
      </c>
      <c r="F823" s="21">
        <f t="shared" si="346"/>
        <v>11840.660207605735</v>
      </c>
      <c r="G823" s="24">
        <f>'DDS Rates for Amend'!AT20</f>
        <v>7.2845179199999999</v>
      </c>
      <c r="H823" s="33">
        <f t="shared" si="347"/>
        <v>86253.501466934904</v>
      </c>
      <c r="I823" s="688"/>
      <c r="J823" s="205"/>
    </row>
    <row r="824" spans="1:56" x14ac:dyDescent="0.25">
      <c r="A824" s="21">
        <f>A$18</f>
        <v>1932</v>
      </c>
      <c r="B824" s="149">
        <f t="shared" si="343"/>
        <v>1.5772870662460567E-2</v>
      </c>
      <c r="C824" s="20">
        <f t="shared" si="344"/>
        <v>14</v>
      </c>
      <c r="D824" s="21">
        <f>ROUND(TREND($D$811:$D$819,$A$811:$A$819,A824),0)+4-S806</f>
        <v>1</v>
      </c>
      <c r="E824" s="22">
        <f t="shared" si="345"/>
        <v>943.54285817845755</v>
      </c>
      <c r="F824" s="21">
        <f t="shared" si="346"/>
        <v>943.54285817845755</v>
      </c>
      <c r="G824" s="24">
        <f>'DDS Rates for Amend'!AT21</f>
        <v>7.4739153859199998</v>
      </c>
      <c r="H824" s="33">
        <f t="shared" si="347"/>
        <v>7051.959485014906</v>
      </c>
      <c r="I824" s="688"/>
      <c r="J824" s="205"/>
    </row>
    <row r="825" spans="1:56" ht="15.75" thickBot="1" x14ac:dyDescent="0.3">
      <c r="A825" s="21">
        <f>A$19</f>
        <v>1962</v>
      </c>
      <c r="B825" s="149">
        <f t="shared" si="343"/>
        <v>1.5527950310559006E-2</v>
      </c>
      <c r="C825" s="20">
        <f t="shared" si="344"/>
        <v>15</v>
      </c>
      <c r="D825" s="21">
        <f>ROUND(TREND($D$811:$D$819,$A$811:$A$819,A825),0)+4-14-15-4-4</f>
        <v>20</v>
      </c>
      <c r="E825" s="22">
        <f t="shared" si="345"/>
        <v>976.26570038724321</v>
      </c>
      <c r="F825" s="21">
        <f t="shared" si="346"/>
        <v>19525.314007744862</v>
      </c>
      <c r="G825" s="24">
        <f>'DDS Rates for Amend'!AT22</f>
        <v>7.6682371859539202</v>
      </c>
      <c r="H825" s="33">
        <f t="shared" si="347"/>
        <v>149724.73894161612</v>
      </c>
      <c r="I825" s="689"/>
      <c r="J825" s="205"/>
      <c r="K825" s="285">
        <f>SUM(H811:H825)</f>
        <v>10431398.08383951</v>
      </c>
      <c r="L825" s="17">
        <f>IF(K825='Appendix J-2'!CD52,0,error)</f>
        <v>0</v>
      </c>
      <c r="Y825" s="87" t="s">
        <v>1095</v>
      </c>
      <c r="AI825" s="407"/>
      <c r="AJ825" s="407"/>
      <c r="AK825" s="407"/>
      <c r="AL825" s="407"/>
      <c r="AM825" s="681" t="s">
        <v>510</v>
      </c>
      <c r="AN825" s="681"/>
      <c r="AO825" s="681"/>
      <c r="AP825" s="681" t="s">
        <v>511</v>
      </c>
      <c r="AQ825" s="681"/>
      <c r="AR825" s="681"/>
      <c r="AS825" s="681" t="s">
        <v>512</v>
      </c>
      <c r="AT825" s="681"/>
      <c r="AU825" s="681"/>
      <c r="AV825" s="681" t="s">
        <v>513</v>
      </c>
      <c r="AW825" s="681"/>
      <c r="AX825" s="681"/>
      <c r="AY825" s="681" t="s">
        <v>514</v>
      </c>
      <c r="AZ825" s="681"/>
      <c r="BA825" s="681"/>
      <c r="BB825" s="681" t="s">
        <v>515</v>
      </c>
      <c r="BC825" s="681"/>
      <c r="BD825" s="681"/>
    </row>
    <row r="826" spans="1:56" ht="15.75" thickBot="1" x14ac:dyDescent="0.3">
      <c r="C826"/>
      <c r="I826" s="568"/>
      <c r="J826"/>
      <c r="N826" s="446"/>
      <c r="O826" s="446"/>
      <c r="P826" s="446"/>
      <c r="Q826" s="446"/>
      <c r="R826" s="446"/>
      <c r="S826" s="446"/>
      <c r="T826" s="446"/>
      <c r="U826" s="446"/>
      <c r="V826" s="446"/>
      <c r="W826" s="446"/>
      <c r="X826" s="446"/>
      <c r="AA826" s="415" t="s">
        <v>604</v>
      </c>
      <c r="AB826" s="416" t="s">
        <v>577</v>
      </c>
      <c r="AC826" s="416" t="s">
        <v>578</v>
      </c>
      <c r="AD826" s="417"/>
      <c r="AE826" s="460" t="s">
        <v>158</v>
      </c>
      <c r="AF826" s="461" t="s">
        <v>577</v>
      </c>
      <c r="AG826" s="461" t="s">
        <v>578</v>
      </c>
      <c r="AH826" s="462"/>
      <c r="AI826" s="407"/>
      <c r="AJ826" s="548" t="s">
        <v>577</v>
      </c>
      <c r="AK826" s="548" t="s">
        <v>578</v>
      </c>
      <c r="AL826" s="407"/>
      <c r="AM826" s="551">
        <f>P1630</f>
        <v>832</v>
      </c>
      <c r="AN826" s="555" t="s">
        <v>1096</v>
      </c>
      <c r="AO826" s="559" t="s">
        <v>578</v>
      </c>
      <c r="AP826" s="551">
        <f>P1631</f>
        <v>865</v>
      </c>
      <c r="AQ826" s="555" t="s">
        <v>1096</v>
      </c>
      <c r="AR826" s="559" t="s">
        <v>578</v>
      </c>
      <c r="AS826" s="551">
        <f>P1632</f>
        <v>889</v>
      </c>
      <c r="AT826" s="555" t="s">
        <v>1096</v>
      </c>
      <c r="AU826" s="559" t="s">
        <v>578</v>
      </c>
      <c r="AV826" s="551">
        <f>P1633</f>
        <v>903</v>
      </c>
      <c r="AW826" s="555" t="s">
        <v>1096</v>
      </c>
      <c r="AX826" s="559" t="s">
        <v>578</v>
      </c>
      <c r="AY826" s="551">
        <f>P1634</f>
        <v>918</v>
      </c>
      <c r="AZ826" s="555" t="s">
        <v>1096</v>
      </c>
      <c r="BA826" s="559" t="s">
        <v>578</v>
      </c>
      <c r="BB826" s="551">
        <f>P1635</f>
        <v>932</v>
      </c>
      <c r="BC826" s="555" t="s">
        <v>1096</v>
      </c>
      <c r="BD826" s="559" t="s">
        <v>578</v>
      </c>
    </row>
    <row r="827" spans="1:56" x14ac:dyDescent="0.25">
      <c r="A827" s="271" t="s">
        <v>108</v>
      </c>
      <c r="B827" s="272"/>
      <c r="C827" s="272"/>
      <c r="D827" s="292" t="str">
        <f>'Appendix J-2'!B56</f>
        <v>Assistance</v>
      </c>
      <c r="E827" s="223" t="str">
        <f>'Appendix J-2'!C56</f>
        <v>1 day</v>
      </c>
      <c r="F827" s="690"/>
      <c r="G827" s="690"/>
      <c r="H827" s="690"/>
      <c r="I827" s="687" t="s">
        <v>1109</v>
      </c>
      <c r="J827" s="205"/>
      <c r="N827" s="577" t="s">
        <v>563</v>
      </c>
      <c r="O827" s="578"/>
      <c r="P827" s="578"/>
      <c r="Q827" s="579"/>
      <c r="R827" s="447"/>
      <c r="S827" s="448"/>
      <c r="T827" s="446"/>
      <c r="U827" s="446"/>
      <c r="V827" s="446"/>
      <c r="W827" s="446"/>
      <c r="X827" s="446"/>
      <c r="Y827" s="410" t="s">
        <v>579</v>
      </c>
      <c r="Z827" s="405" t="s">
        <v>580</v>
      </c>
      <c r="AA827" s="409">
        <f>D837+D1323</f>
        <v>5</v>
      </c>
      <c r="AB827" s="412">
        <f>D837/AA827</f>
        <v>1</v>
      </c>
      <c r="AC827" s="412">
        <f>D1323/AA827</f>
        <v>0</v>
      </c>
      <c r="AD827" s="414">
        <f>AB827+AC827</f>
        <v>1</v>
      </c>
      <c r="AE827" s="463">
        <f>F837+F1323</f>
        <v>1204</v>
      </c>
      <c r="AF827" s="464">
        <f>F837/AE827</f>
        <v>1</v>
      </c>
      <c r="AG827" s="464">
        <f>H1323/AE827</f>
        <v>0</v>
      </c>
      <c r="AH827" s="465">
        <f>AF827+AG827</f>
        <v>1</v>
      </c>
      <c r="AI827" s="413">
        <f>AA827/$AA$842</f>
        <v>4.2052144659377629E-3</v>
      </c>
      <c r="AJ827" s="549">
        <f>AA827*AB827</f>
        <v>5</v>
      </c>
      <c r="AK827" s="549">
        <f>AA827*AC827</f>
        <v>0</v>
      </c>
      <c r="AL827" s="549">
        <f>SUM(AJ827:AK827)</f>
        <v>5</v>
      </c>
      <c r="AM827" s="556">
        <f>ROUND($AM$826*AI827,0)</f>
        <v>3</v>
      </c>
      <c r="AN827" s="560">
        <f>ROUND(AM827*$AB$827,0)</f>
        <v>3</v>
      </c>
      <c r="AO827" s="561">
        <f>ROUND($AM$827*$AC$827,0)</f>
        <v>0</v>
      </c>
      <c r="AP827" s="556">
        <f>ROUND($AP$826*AI827,0)</f>
        <v>4</v>
      </c>
      <c r="AQ827" s="560">
        <f>ROUND(AP827*AB827,0)</f>
        <v>4</v>
      </c>
      <c r="AR827" s="561">
        <f>ROUND(AP827*AC827,0)</f>
        <v>0</v>
      </c>
      <c r="AS827" s="556">
        <f>ROUND($AS$826*AI827,0)</f>
        <v>4</v>
      </c>
      <c r="AT827" s="560">
        <f>ROUND(AS827*AB827,0)</f>
        <v>4</v>
      </c>
      <c r="AU827" s="561">
        <f>ROUND(AS827*AC827,0)</f>
        <v>0</v>
      </c>
      <c r="AV827" s="556">
        <f>ROUND($AV$826*AI827,0)</f>
        <v>4</v>
      </c>
      <c r="AW827" s="560">
        <f>ROUND(AV827*AB827,0)</f>
        <v>4</v>
      </c>
      <c r="AX827" s="561">
        <f>ROUND(AV827*AC827,0)</f>
        <v>0</v>
      </c>
      <c r="AY827" s="556">
        <f>ROUND($AY$826*AI827,0)</f>
        <v>4</v>
      </c>
      <c r="AZ827" s="560">
        <f>ROUND(AY827*AB827,0)</f>
        <v>4</v>
      </c>
      <c r="BA827" s="561">
        <f>ROUND(AY827*AC827,0)</f>
        <v>0</v>
      </c>
      <c r="BB827" s="556">
        <f>ROUND($BB$826*AI827,0)</f>
        <v>4</v>
      </c>
      <c r="BC827" s="560">
        <f>ROUND(BB827*AB827,0)</f>
        <v>4</v>
      </c>
      <c r="BD827" s="561">
        <f>ROUND(BB827*AC827,0)</f>
        <v>0</v>
      </c>
    </row>
    <row r="828" spans="1:56" ht="30" x14ac:dyDescent="0.25">
      <c r="A828" s="147" t="s">
        <v>26</v>
      </c>
      <c r="B828" s="147" t="s">
        <v>27</v>
      </c>
      <c r="C828" s="50" t="s">
        <v>166</v>
      </c>
      <c r="D828" s="91" t="s">
        <v>154</v>
      </c>
      <c r="E828" s="89" t="s">
        <v>155</v>
      </c>
      <c r="F828" s="34" t="s">
        <v>158</v>
      </c>
      <c r="G828" s="35" t="s">
        <v>156</v>
      </c>
      <c r="H828" s="51" t="s">
        <v>157</v>
      </c>
      <c r="I828" s="688"/>
      <c r="J828" s="205"/>
      <c r="N828" s="580" t="s">
        <v>26</v>
      </c>
      <c r="O828" s="580" t="s">
        <v>27</v>
      </c>
      <c r="P828" s="471" t="s">
        <v>166</v>
      </c>
      <c r="Q828" s="581" t="s">
        <v>154</v>
      </c>
      <c r="R828" s="449" t="s">
        <v>155</v>
      </c>
      <c r="S828" s="450" t="s">
        <v>158</v>
      </c>
      <c r="T828" s="446"/>
      <c r="U828" s="446"/>
      <c r="V828" s="446"/>
      <c r="W828" s="446"/>
      <c r="X828" s="446"/>
      <c r="Y828" s="406" t="s">
        <v>581</v>
      </c>
      <c r="Z828" s="405" t="s">
        <v>582</v>
      </c>
      <c r="AA828" s="409">
        <f>D855+D1341</f>
        <v>48</v>
      </c>
      <c r="AB828" s="412">
        <f>D855/AA828</f>
        <v>0.72916666666666663</v>
      </c>
      <c r="AC828" s="412">
        <f>D1341/AA828</f>
        <v>0.27083333333333331</v>
      </c>
      <c r="AD828" s="414">
        <f t="shared" ref="AD828:AD841" si="348">AB828+AC828</f>
        <v>1</v>
      </c>
      <c r="AE828" s="463">
        <f>+F855+F1341</f>
        <v>11362</v>
      </c>
      <c r="AF828" s="464">
        <f>F855/AE828</f>
        <v>0.68086604471043832</v>
      </c>
      <c r="AG828" s="464">
        <f>F1341/AE828</f>
        <v>0.31913395528956168</v>
      </c>
      <c r="AH828" s="465">
        <f t="shared" ref="AH828:AH841" si="349">AF828+AG828</f>
        <v>1</v>
      </c>
      <c r="AI828" s="413">
        <f t="shared" ref="AI828:AI841" si="350">AA828/$AA$842</f>
        <v>4.0370058873002525E-2</v>
      </c>
      <c r="AJ828" s="549">
        <f>AA828*AB828</f>
        <v>35</v>
      </c>
      <c r="AK828" s="549">
        <f>AA828*AC828</f>
        <v>13</v>
      </c>
      <c r="AL828" s="549">
        <f>SUM(AJ828:AK828)</f>
        <v>48</v>
      </c>
      <c r="AM828" s="556">
        <f t="shared" ref="AM828:AM841" si="351">ROUND($AM$826*AI828,0)</f>
        <v>34</v>
      </c>
      <c r="AN828" s="562">
        <f>ROUND($AM$828*$AB$828,0)</f>
        <v>25</v>
      </c>
      <c r="AO828" s="552">
        <f>ROUND($AM$828*$AC$828,0)</f>
        <v>9</v>
      </c>
      <c r="AP828" s="556">
        <f t="shared" ref="AP828:AP841" si="352">ROUND($AP$826*AI828,0)</f>
        <v>35</v>
      </c>
      <c r="AQ828" s="562">
        <f>ROUND(AP828*AB828,0)</f>
        <v>26</v>
      </c>
      <c r="AR828" s="552">
        <f>ROUND(AP828*AC828,0)</f>
        <v>9</v>
      </c>
      <c r="AS828" s="556">
        <f>ROUND($AS$826*AI828,0)</f>
        <v>36</v>
      </c>
      <c r="AT828" s="562">
        <f>ROUND(AS828*AB828,0)</f>
        <v>26</v>
      </c>
      <c r="AU828" s="552">
        <f>ROUND(AS828*AC828,0)</f>
        <v>10</v>
      </c>
      <c r="AV828" s="556">
        <f>ROUND($AV$826*AI828,0)</f>
        <v>36</v>
      </c>
      <c r="AW828" s="562">
        <f>ROUND(AV828*AB828,0)</f>
        <v>26</v>
      </c>
      <c r="AX828" s="552">
        <f>ROUND(AV828*AC828,0)</f>
        <v>10</v>
      </c>
      <c r="AY828" s="556">
        <f>ROUND($AY$826*AI828,0)</f>
        <v>37</v>
      </c>
      <c r="AZ828" s="562">
        <f>ROUND(AY828*AB828,0)</f>
        <v>27</v>
      </c>
      <c r="BA828" s="552">
        <f>ROUND(AY828*AC828,0)</f>
        <v>10</v>
      </c>
      <c r="BB828" s="556">
        <f>ROUND($BB$826*AI828,0)</f>
        <v>38</v>
      </c>
      <c r="BC828" s="562">
        <f>ROUND(BB828*AB828,0)</f>
        <v>28</v>
      </c>
      <c r="BD828" s="552">
        <f>ROUND(BB828*AC828,0)</f>
        <v>10</v>
      </c>
    </row>
    <row r="829" spans="1:56" ht="15" customHeight="1" x14ac:dyDescent="0.25">
      <c r="A829" s="21">
        <f>A$5</f>
        <v>1182</v>
      </c>
      <c r="B829" s="148"/>
      <c r="C829" s="144">
        <v>1</v>
      </c>
      <c r="D829" s="247">
        <f>'Appendix J-2'!D56</f>
        <v>28</v>
      </c>
      <c r="E829" s="22">
        <f>IF(F829=0,0,F829/D829)</f>
        <v>142</v>
      </c>
      <c r="F829" s="247">
        <f>'Appendix J-2'!F56</f>
        <v>3976</v>
      </c>
      <c r="G829" s="24">
        <f>H829/F829</f>
        <v>194.72862173038229</v>
      </c>
      <c r="H829" s="250">
        <f>'Appendix J-2'!H56</f>
        <v>774241</v>
      </c>
      <c r="I829" s="688"/>
      <c r="J829" s="205"/>
      <c r="N829" s="453">
        <f>A829</f>
        <v>1182</v>
      </c>
      <c r="O829" s="582"/>
      <c r="P829" s="583">
        <v>1</v>
      </c>
      <c r="Q829" s="452">
        <f>D829+D1315</f>
        <v>28</v>
      </c>
      <c r="R829" s="451">
        <f>IF(S829=0,0,S829/Q829)</f>
        <v>142</v>
      </c>
      <c r="S829" s="452">
        <f>F829+F1315</f>
        <v>3976</v>
      </c>
      <c r="T829" s="446"/>
      <c r="U829" s="446"/>
      <c r="V829" s="446"/>
      <c r="W829" s="446"/>
      <c r="X829" s="446"/>
      <c r="Y829" s="30" t="s">
        <v>605</v>
      </c>
      <c r="Z829" s="405" t="s">
        <v>606</v>
      </c>
      <c r="AA829" s="90">
        <f>D873+D1359</f>
        <v>0</v>
      </c>
      <c r="AB829" s="413" t="e">
        <f>D873/AA829</f>
        <v>#DIV/0!</v>
      </c>
      <c r="AC829" s="413" t="e">
        <f>D1359/AA829</f>
        <v>#DIV/0!</v>
      </c>
      <c r="AD829" s="414" t="e">
        <f t="shared" si="348"/>
        <v>#DIV/0!</v>
      </c>
      <c r="AE829" s="466">
        <f>F873+F1359</f>
        <v>0</v>
      </c>
      <c r="AF829" s="467" t="e">
        <f>F873/AE829</f>
        <v>#DIV/0!</v>
      </c>
      <c r="AG829" s="467" t="e">
        <f>F1359/AE829</f>
        <v>#DIV/0!</v>
      </c>
      <c r="AH829" s="465" t="e">
        <f t="shared" si="349"/>
        <v>#DIV/0!</v>
      </c>
      <c r="AI829" s="413">
        <f t="shared" si="350"/>
        <v>0</v>
      </c>
      <c r="AJ829" s="549"/>
      <c r="AK829" s="549"/>
      <c r="AL829" s="549"/>
      <c r="AM829" s="557"/>
      <c r="AN829" s="563"/>
      <c r="AO829" s="553"/>
      <c r="AP829" s="557"/>
      <c r="AQ829" s="563"/>
      <c r="AR829" s="553"/>
      <c r="AS829" s="557"/>
      <c r="AT829" s="563"/>
      <c r="AU829" s="553"/>
      <c r="AV829" s="557"/>
      <c r="AW829" s="563"/>
      <c r="AX829" s="553"/>
      <c r="AY829" s="557"/>
      <c r="AZ829" s="563"/>
      <c r="BA829" s="553"/>
      <c r="BB829" s="557"/>
      <c r="BC829" s="563"/>
      <c r="BD829" s="553"/>
    </row>
    <row r="830" spans="1:56" x14ac:dyDescent="0.25">
      <c r="A830" s="21">
        <f>A$6</f>
        <v>1288</v>
      </c>
      <c r="B830" s="149">
        <f>(A830-A829)/A829</f>
        <v>8.9678510998307953E-2</v>
      </c>
      <c r="C830" s="52">
        <v>2</v>
      </c>
      <c r="D830" s="247">
        <f>'Appendix J-2'!I56</f>
        <v>15</v>
      </c>
      <c r="E830" s="22">
        <f t="shared" ref="E830:E837" si="353">IF(F830=0,0,F830/D830)</f>
        <v>259.53333333333336</v>
      </c>
      <c r="F830" s="247">
        <f>'Appendix J-2'!K56</f>
        <v>3893</v>
      </c>
      <c r="G830" s="24">
        <f t="shared" ref="G830:G837" si="354">H830/F830</f>
        <v>194.97251477010019</v>
      </c>
      <c r="H830" s="250">
        <f>'Appendix J-2'!M56</f>
        <v>759028</v>
      </c>
      <c r="I830" s="688"/>
      <c r="J830" s="205"/>
      <c r="N830" s="453">
        <f t="shared" ref="N830:N843" si="355">A830</f>
        <v>1288</v>
      </c>
      <c r="O830" s="584">
        <f>(N830-N829)/N829</f>
        <v>8.9678510998307953E-2</v>
      </c>
      <c r="P830" s="585">
        <v>2</v>
      </c>
      <c r="Q830" s="452">
        <f t="shared" ref="Q830:Q837" si="356">D830+D1316</f>
        <v>15</v>
      </c>
      <c r="R830" s="451">
        <f t="shared" ref="R830:R837" si="357">IF(S830=0,0,S830/Q830)</f>
        <v>259.53333333333336</v>
      </c>
      <c r="S830" s="452">
        <f t="shared" ref="S830:S837" si="358">F830+F1316</f>
        <v>3893</v>
      </c>
      <c r="T830" s="446"/>
      <c r="U830" s="446"/>
      <c r="V830" s="446"/>
      <c r="W830" s="446"/>
      <c r="X830" s="446"/>
      <c r="Y830" s="406" t="s">
        <v>583</v>
      </c>
      <c r="Z830" s="405" t="s">
        <v>584</v>
      </c>
      <c r="AA830" s="409">
        <f>D891+D1377</f>
        <v>16</v>
      </c>
      <c r="AB830" s="412">
        <f>D891/AA830</f>
        <v>0.8125</v>
      </c>
      <c r="AC830" s="412">
        <f>D1377/AA830</f>
        <v>0.1875</v>
      </c>
      <c r="AD830" s="414">
        <f t="shared" si="348"/>
        <v>1</v>
      </c>
      <c r="AE830" s="463">
        <f>+F891+F1377</f>
        <v>2469</v>
      </c>
      <c r="AF830" s="464">
        <f>F891/AE830</f>
        <v>0.99513973268529765</v>
      </c>
      <c r="AG830" s="464">
        <f>F1377/AE830</f>
        <v>4.8602673147023082E-3</v>
      </c>
      <c r="AH830" s="465">
        <f t="shared" si="349"/>
        <v>1</v>
      </c>
      <c r="AI830" s="413">
        <f t="shared" si="350"/>
        <v>1.345668629100084E-2</v>
      </c>
      <c r="AJ830" s="549">
        <f t="shared" ref="AJ830:AJ841" si="359">AA830*AB830</f>
        <v>13</v>
      </c>
      <c r="AK830" s="549">
        <f t="shared" ref="AK830:AK841" si="360">AA830*AC830</f>
        <v>3</v>
      </c>
      <c r="AL830" s="549">
        <f t="shared" ref="AL830:AL841" si="361">SUM(AJ830:AK830)</f>
        <v>16</v>
      </c>
      <c r="AM830" s="556">
        <f t="shared" si="351"/>
        <v>11</v>
      </c>
      <c r="AN830" s="562">
        <f t="shared" ref="AN830:AN841" si="362">ROUND(AM830*AB830,0)</f>
        <v>9</v>
      </c>
      <c r="AO830" s="552">
        <f t="shared" ref="AO830:AO841" si="363">ROUND(AM830*AC830,0)</f>
        <v>2</v>
      </c>
      <c r="AP830" s="556">
        <f t="shared" si="352"/>
        <v>12</v>
      </c>
      <c r="AQ830" s="562">
        <f t="shared" ref="AQ830:AQ841" si="364">ROUND(AP830*AB830,0)</f>
        <v>10</v>
      </c>
      <c r="AR830" s="552">
        <f t="shared" ref="AR830:AR841" si="365">ROUND(AP830*AC830,0)</f>
        <v>2</v>
      </c>
      <c r="AS830" s="556">
        <f t="shared" ref="AS830:AS841" si="366">ROUND($AS$826*AI830,0)</f>
        <v>12</v>
      </c>
      <c r="AT830" s="562">
        <f t="shared" ref="AT830:AT841" si="367">ROUND(AS830*AB830,0)</f>
        <v>10</v>
      </c>
      <c r="AU830" s="552">
        <f t="shared" ref="AU830:AU841" si="368">ROUND(AS830*AC830,0)</f>
        <v>2</v>
      </c>
      <c r="AV830" s="556">
        <f t="shared" ref="AV830:AV841" si="369">ROUND($AV$826*AI830,0)</f>
        <v>12</v>
      </c>
      <c r="AW830" s="562">
        <f t="shared" ref="AW830:AW841" si="370">ROUND(AV830*AB830,0)</f>
        <v>10</v>
      </c>
      <c r="AX830" s="552">
        <f t="shared" ref="AX830:AX841" si="371">ROUND(AV830*AC830,0)</f>
        <v>2</v>
      </c>
      <c r="AY830" s="556">
        <f t="shared" ref="AY830:AY841" si="372">ROUND($AY$826*AI830,0)</f>
        <v>12</v>
      </c>
      <c r="AZ830" s="562">
        <f t="shared" ref="AZ830:AZ841" si="373">ROUND(AY830*AB830,0)</f>
        <v>10</v>
      </c>
      <c r="BA830" s="552">
        <f t="shared" ref="BA830:BA841" si="374">ROUND(AY830*AC830,0)</f>
        <v>2</v>
      </c>
      <c r="BB830" s="556">
        <f t="shared" ref="BB830:BB841" si="375">ROUND($BB$826*AI830,0)</f>
        <v>13</v>
      </c>
      <c r="BC830" s="562">
        <f t="shared" ref="BC830:BC841" si="376">ROUND(BB830*AB830,0)</f>
        <v>11</v>
      </c>
      <c r="BD830" s="552">
        <f t="shared" ref="BD830:BD841" si="377">ROUND(BB830*AC830,0)</f>
        <v>2</v>
      </c>
    </row>
    <row r="831" spans="1:56" x14ac:dyDescent="0.25">
      <c r="A831" s="21">
        <f>A$7</f>
        <v>1495</v>
      </c>
      <c r="B831" s="149">
        <f t="shared" ref="B831:B843" si="378">(A831-A830)/A830</f>
        <v>0.16071428571428573</v>
      </c>
      <c r="C831" s="52">
        <v>3</v>
      </c>
      <c r="D831" s="247">
        <f>'Appendix J-2'!N56</f>
        <v>15</v>
      </c>
      <c r="E831" s="22">
        <f t="shared" si="353"/>
        <v>249.06666666666666</v>
      </c>
      <c r="F831" s="247">
        <f>'Appendix J-2'!P56</f>
        <v>3736</v>
      </c>
      <c r="G831" s="24">
        <f t="shared" si="354"/>
        <v>195</v>
      </c>
      <c r="H831" s="248">
        <f>'Appendix J-2'!R56</f>
        <v>728520</v>
      </c>
      <c r="I831" s="688"/>
      <c r="J831" s="205"/>
      <c r="N831" s="453">
        <f t="shared" si="355"/>
        <v>1495</v>
      </c>
      <c r="O831" s="584">
        <f t="shared" ref="O831:O843" si="379">(N831-N830)/N830</f>
        <v>0.16071428571428573</v>
      </c>
      <c r="P831" s="585">
        <v>3</v>
      </c>
      <c r="Q831" s="452">
        <f t="shared" si="356"/>
        <v>15</v>
      </c>
      <c r="R831" s="451">
        <f t="shared" si="357"/>
        <v>249.06666666666666</v>
      </c>
      <c r="S831" s="452">
        <f t="shared" si="358"/>
        <v>3736</v>
      </c>
      <c r="T831" s="446"/>
      <c r="U831" s="446"/>
      <c r="V831" s="446"/>
      <c r="W831" s="446"/>
      <c r="X831" s="446"/>
      <c r="Y831" s="406" t="s">
        <v>585</v>
      </c>
      <c r="Z831" s="405" t="s">
        <v>586</v>
      </c>
      <c r="AA831" s="409">
        <f>D909+D1395</f>
        <v>91</v>
      </c>
      <c r="AB831" s="412">
        <f>D909/AA831</f>
        <v>0.79120879120879117</v>
      </c>
      <c r="AC831" s="412">
        <f>D1395/AA831</f>
        <v>0.2087912087912088</v>
      </c>
      <c r="AD831" s="414">
        <f t="shared" si="348"/>
        <v>1</v>
      </c>
      <c r="AE831" s="463">
        <f>F909+F1395</f>
        <v>21483</v>
      </c>
      <c r="AF831" s="464">
        <f>F909/AE831</f>
        <v>0.83633570730344919</v>
      </c>
      <c r="AG831" s="464">
        <f>F1395/AE831</f>
        <v>0.16366429269655075</v>
      </c>
      <c r="AH831" s="465">
        <f t="shared" si="349"/>
        <v>1</v>
      </c>
      <c r="AI831" s="413">
        <f t="shared" si="350"/>
        <v>7.653490328006729E-2</v>
      </c>
      <c r="AJ831" s="549">
        <f t="shared" si="359"/>
        <v>72</v>
      </c>
      <c r="AK831" s="549">
        <f t="shared" si="360"/>
        <v>19</v>
      </c>
      <c r="AL831" s="549">
        <f t="shared" si="361"/>
        <v>91</v>
      </c>
      <c r="AM831" s="556">
        <f t="shared" si="351"/>
        <v>64</v>
      </c>
      <c r="AN831" s="562">
        <f t="shared" si="362"/>
        <v>51</v>
      </c>
      <c r="AO831" s="552">
        <f t="shared" si="363"/>
        <v>13</v>
      </c>
      <c r="AP831" s="556">
        <f t="shared" si="352"/>
        <v>66</v>
      </c>
      <c r="AQ831" s="562">
        <f t="shared" si="364"/>
        <v>52</v>
      </c>
      <c r="AR831" s="552">
        <f t="shared" si="365"/>
        <v>14</v>
      </c>
      <c r="AS831" s="556">
        <f t="shared" si="366"/>
        <v>68</v>
      </c>
      <c r="AT831" s="562">
        <f t="shared" si="367"/>
        <v>54</v>
      </c>
      <c r="AU831" s="552">
        <f t="shared" si="368"/>
        <v>14</v>
      </c>
      <c r="AV831" s="556">
        <f t="shared" si="369"/>
        <v>69</v>
      </c>
      <c r="AW831" s="562">
        <f t="shared" si="370"/>
        <v>55</v>
      </c>
      <c r="AX831" s="552">
        <f t="shared" si="371"/>
        <v>14</v>
      </c>
      <c r="AY831" s="556">
        <f t="shared" si="372"/>
        <v>70</v>
      </c>
      <c r="AZ831" s="562">
        <f t="shared" si="373"/>
        <v>55</v>
      </c>
      <c r="BA831" s="552">
        <f t="shared" si="374"/>
        <v>15</v>
      </c>
      <c r="BB831" s="556">
        <f t="shared" si="375"/>
        <v>71</v>
      </c>
      <c r="BC831" s="562">
        <f t="shared" si="376"/>
        <v>56</v>
      </c>
      <c r="BD831" s="552">
        <f t="shared" si="377"/>
        <v>15</v>
      </c>
    </row>
    <row r="832" spans="1:56" x14ac:dyDescent="0.25">
      <c r="A832" s="21">
        <f>A$8</f>
        <v>1484</v>
      </c>
      <c r="B832" s="149">
        <f t="shared" si="378"/>
        <v>-7.3578595317725752E-3</v>
      </c>
      <c r="C832" s="52">
        <f t="shared" ref="C832:C843" si="380">C831+1</f>
        <v>4</v>
      </c>
      <c r="D832" s="247">
        <f>'Appendix J-2'!S56</f>
        <v>26</v>
      </c>
      <c r="E832" s="22">
        <f t="shared" si="353"/>
        <v>136.03846153846155</v>
      </c>
      <c r="F832" s="247">
        <f>'Appendix J-2'!U56</f>
        <v>3537</v>
      </c>
      <c r="G832" s="24">
        <f t="shared" si="354"/>
        <v>195</v>
      </c>
      <c r="H832" s="248">
        <f>'Appendix J-2'!W56</f>
        <v>689715</v>
      </c>
      <c r="I832" s="688"/>
      <c r="J832" s="205"/>
      <c r="N832" s="453">
        <f t="shared" si="355"/>
        <v>1484</v>
      </c>
      <c r="O832" s="584">
        <f t="shared" si="379"/>
        <v>-7.3578595317725752E-3</v>
      </c>
      <c r="P832" s="585">
        <f t="shared" ref="P832:P843" si="381">P831+1</f>
        <v>4</v>
      </c>
      <c r="Q832" s="452">
        <f t="shared" si="356"/>
        <v>26</v>
      </c>
      <c r="R832" s="451">
        <f t="shared" si="357"/>
        <v>136.03846153846155</v>
      </c>
      <c r="S832" s="452">
        <f t="shared" si="358"/>
        <v>3537</v>
      </c>
      <c r="T832" s="446"/>
      <c r="U832" s="446"/>
      <c r="V832" s="446"/>
      <c r="W832" s="446"/>
      <c r="X832" s="446"/>
      <c r="Y832" s="406" t="s">
        <v>587</v>
      </c>
      <c r="Z832" s="405" t="s">
        <v>588</v>
      </c>
      <c r="AA832" s="409">
        <f>D927+D1413</f>
        <v>140</v>
      </c>
      <c r="AB832" s="412">
        <f>D927/AA832</f>
        <v>0.6071428571428571</v>
      </c>
      <c r="AC832" s="412">
        <f>D1413/AA832</f>
        <v>0.39285714285714285</v>
      </c>
      <c r="AD832" s="414">
        <f t="shared" si="348"/>
        <v>1</v>
      </c>
      <c r="AE832" s="463">
        <f>F927+F1413</f>
        <v>35848</v>
      </c>
      <c r="AF832" s="464">
        <f>F927/AE832</f>
        <v>0.58095291229636237</v>
      </c>
      <c r="AG832" s="464">
        <f>F1413/AE832</f>
        <v>0.41904708770363758</v>
      </c>
      <c r="AH832" s="465">
        <f t="shared" si="349"/>
        <v>1</v>
      </c>
      <c r="AI832" s="413">
        <f t="shared" si="350"/>
        <v>0.11774600504625736</v>
      </c>
      <c r="AJ832" s="549">
        <f t="shared" si="359"/>
        <v>85</v>
      </c>
      <c r="AK832" s="549">
        <f t="shared" si="360"/>
        <v>55</v>
      </c>
      <c r="AL832" s="549">
        <f t="shared" si="361"/>
        <v>140</v>
      </c>
      <c r="AM832" s="556">
        <f t="shared" si="351"/>
        <v>98</v>
      </c>
      <c r="AN832" s="562">
        <f t="shared" si="362"/>
        <v>60</v>
      </c>
      <c r="AO832" s="552">
        <f t="shared" si="363"/>
        <v>39</v>
      </c>
      <c r="AP832" s="556">
        <f t="shared" si="352"/>
        <v>102</v>
      </c>
      <c r="AQ832" s="562">
        <f t="shared" si="364"/>
        <v>62</v>
      </c>
      <c r="AR832" s="552">
        <f t="shared" si="365"/>
        <v>40</v>
      </c>
      <c r="AS832" s="556">
        <f t="shared" si="366"/>
        <v>105</v>
      </c>
      <c r="AT832" s="562">
        <f t="shared" si="367"/>
        <v>64</v>
      </c>
      <c r="AU832" s="552">
        <f t="shared" si="368"/>
        <v>41</v>
      </c>
      <c r="AV832" s="556">
        <f t="shared" si="369"/>
        <v>106</v>
      </c>
      <c r="AW832" s="562">
        <f t="shared" si="370"/>
        <v>64</v>
      </c>
      <c r="AX832" s="552">
        <f t="shared" si="371"/>
        <v>42</v>
      </c>
      <c r="AY832" s="556">
        <f t="shared" si="372"/>
        <v>108</v>
      </c>
      <c r="AZ832" s="562">
        <f t="shared" si="373"/>
        <v>66</v>
      </c>
      <c r="BA832" s="552">
        <f t="shared" si="374"/>
        <v>42</v>
      </c>
      <c r="BB832" s="556">
        <f t="shared" si="375"/>
        <v>110</v>
      </c>
      <c r="BC832" s="562">
        <f t="shared" si="376"/>
        <v>67</v>
      </c>
      <c r="BD832" s="552">
        <f t="shared" si="377"/>
        <v>43</v>
      </c>
    </row>
    <row r="833" spans="1:56" x14ac:dyDescent="0.25">
      <c r="A833" s="21">
        <f>A$9</f>
        <v>1528</v>
      </c>
      <c r="B833" s="149">
        <f t="shared" si="378"/>
        <v>2.9649595687331536E-2</v>
      </c>
      <c r="C833" s="52">
        <f t="shared" si="380"/>
        <v>5</v>
      </c>
      <c r="D833" s="247">
        <f>'Appendix J-2'!X56</f>
        <v>8</v>
      </c>
      <c r="E833" s="22">
        <f t="shared" si="353"/>
        <v>278.75</v>
      </c>
      <c r="F833" s="247">
        <f>'Appendix J-2'!Z56</f>
        <v>2230</v>
      </c>
      <c r="G833" s="24">
        <f t="shared" si="354"/>
        <v>195</v>
      </c>
      <c r="H833" s="248">
        <f>'Appendix J-2'!AB56</f>
        <v>434850</v>
      </c>
      <c r="I833" s="688"/>
      <c r="J833" s="205"/>
      <c r="N833" s="453">
        <f t="shared" si="355"/>
        <v>1528</v>
      </c>
      <c r="O833" s="584">
        <f t="shared" si="379"/>
        <v>2.9649595687331536E-2</v>
      </c>
      <c r="P833" s="585">
        <f t="shared" si="381"/>
        <v>5</v>
      </c>
      <c r="Q833" s="452">
        <f t="shared" si="356"/>
        <v>8</v>
      </c>
      <c r="R833" s="451">
        <f t="shared" si="357"/>
        <v>278.75</v>
      </c>
      <c r="S833" s="452">
        <f t="shared" si="358"/>
        <v>2230</v>
      </c>
      <c r="T833" s="446"/>
      <c r="U833" s="446"/>
      <c r="V833" s="446"/>
      <c r="W833" s="446"/>
      <c r="X833" s="446"/>
      <c r="Y833" s="406" t="s">
        <v>589</v>
      </c>
      <c r="Z833" s="405" t="s">
        <v>590</v>
      </c>
      <c r="AA833" s="409">
        <f>D945+D1431</f>
        <v>14</v>
      </c>
      <c r="AB833" s="412">
        <f>D945/AA833</f>
        <v>0.8571428571428571</v>
      </c>
      <c r="AC833" s="412">
        <f>D1431/AA833</f>
        <v>0.14285714285714285</v>
      </c>
      <c r="AD833" s="414">
        <f t="shared" si="348"/>
        <v>1</v>
      </c>
      <c r="AE833" s="463">
        <f>F945+F1431</f>
        <v>3078</v>
      </c>
      <c r="AF833" s="464">
        <f>F945/AE833</f>
        <v>0.82131254061078618</v>
      </c>
      <c r="AG833" s="464">
        <f>F1431/AE833</f>
        <v>0.17868745938921377</v>
      </c>
      <c r="AH833" s="465">
        <f t="shared" si="349"/>
        <v>1</v>
      </c>
      <c r="AI833" s="413">
        <f t="shared" si="350"/>
        <v>1.1774600504625737E-2</v>
      </c>
      <c r="AJ833" s="549">
        <f t="shared" si="359"/>
        <v>12</v>
      </c>
      <c r="AK833" s="549">
        <f t="shared" si="360"/>
        <v>2</v>
      </c>
      <c r="AL833" s="549">
        <f t="shared" si="361"/>
        <v>14</v>
      </c>
      <c r="AM833" s="556">
        <f t="shared" si="351"/>
        <v>10</v>
      </c>
      <c r="AN833" s="562">
        <f t="shared" si="362"/>
        <v>9</v>
      </c>
      <c r="AO833" s="552">
        <f t="shared" si="363"/>
        <v>1</v>
      </c>
      <c r="AP833" s="556">
        <f t="shared" si="352"/>
        <v>10</v>
      </c>
      <c r="AQ833" s="562">
        <f t="shared" si="364"/>
        <v>9</v>
      </c>
      <c r="AR833" s="552">
        <f t="shared" si="365"/>
        <v>1</v>
      </c>
      <c r="AS833" s="556">
        <f t="shared" si="366"/>
        <v>10</v>
      </c>
      <c r="AT833" s="562">
        <f t="shared" si="367"/>
        <v>9</v>
      </c>
      <c r="AU833" s="552">
        <f t="shared" si="368"/>
        <v>1</v>
      </c>
      <c r="AV833" s="556">
        <f t="shared" si="369"/>
        <v>11</v>
      </c>
      <c r="AW833" s="562">
        <f t="shared" si="370"/>
        <v>9</v>
      </c>
      <c r="AX833" s="552">
        <f t="shared" si="371"/>
        <v>2</v>
      </c>
      <c r="AY833" s="556">
        <f t="shared" si="372"/>
        <v>11</v>
      </c>
      <c r="AZ833" s="562">
        <f t="shared" si="373"/>
        <v>9</v>
      </c>
      <c r="BA833" s="552">
        <f t="shared" si="374"/>
        <v>2</v>
      </c>
      <c r="BB833" s="556">
        <f t="shared" si="375"/>
        <v>11</v>
      </c>
      <c r="BC833" s="562">
        <f t="shared" si="376"/>
        <v>9</v>
      </c>
      <c r="BD833" s="552">
        <f t="shared" si="377"/>
        <v>2</v>
      </c>
    </row>
    <row r="834" spans="1:56" x14ac:dyDescent="0.25">
      <c r="A834" s="21">
        <f>A$10</f>
        <v>1592</v>
      </c>
      <c r="B834" s="149">
        <f t="shared" si="378"/>
        <v>4.1884816753926704E-2</v>
      </c>
      <c r="C834" s="52">
        <f t="shared" si="380"/>
        <v>6</v>
      </c>
      <c r="D834" s="249">
        <f>'Appendix J-2'!AC56</f>
        <v>23</v>
      </c>
      <c r="E834" s="22">
        <f t="shared" si="353"/>
        <v>114.47826086956522</v>
      </c>
      <c r="F834" s="249">
        <f>'Appendix J-2'!AE56</f>
        <v>2633</v>
      </c>
      <c r="G834" s="24">
        <f t="shared" si="354"/>
        <v>232.98556779339157</v>
      </c>
      <c r="H834" s="248">
        <f>'Appendix J-2'!AG56</f>
        <v>613451</v>
      </c>
      <c r="I834" s="688"/>
      <c r="J834" s="205"/>
      <c r="N834" s="453">
        <f t="shared" si="355"/>
        <v>1592</v>
      </c>
      <c r="O834" s="584">
        <f t="shared" si="379"/>
        <v>4.1884816753926704E-2</v>
      </c>
      <c r="P834" s="585">
        <f t="shared" si="381"/>
        <v>6</v>
      </c>
      <c r="Q834" s="452">
        <f t="shared" si="356"/>
        <v>23</v>
      </c>
      <c r="R834" s="451">
        <f t="shared" si="357"/>
        <v>114.47826086956522</v>
      </c>
      <c r="S834" s="452">
        <f t="shared" si="358"/>
        <v>2633</v>
      </c>
      <c r="T834" s="446"/>
      <c r="U834" s="446"/>
      <c r="V834" s="446"/>
      <c r="W834" s="446"/>
      <c r="X834" s="446"/>
      <c r="Y834" s="406" t="s">
        <v>591</v>
      </c>
      <c r="Z834" s="405" t="s">
        <v>592</v>
      </c>
      <c r="AA834" s="409">
        <f>D963+D1449</f>
        <v>321</v>
      </c>
      <c r="AB834" s="412">
        <f>D963/AA834</f>
        <v>0.66666666666666663</v>
      </c>
      <c r="AC834" s="412">
        <f>D1449/AA834</f>
        <v>0.33333333333333331</v>
      </c>
      <c r="AD834" s="414">
        <f t="shared" si="348"/>
        <v>1</v>
      </c>
      <c r="AE834" s="463">
        <f>F963+F1449</f>
        <v>78971</v>
      </c>
      <c r="AF834" s="464">
        <f>F963/AE834</f>
        <v>0.73941066973952463</v>
      </c>
      <c r="AG834" s="464">
        <f>F1449/AE834</f>
        <v>0.26058933026047537</v>
      </c>
      <c r="AH834" s="465">
        <f t="shared" si="349"/>
        <v>1</v>
      </c>
      <c r="AI834" s="413">
        <f t="shared" si="350"/>
        <v>0.26997476871320436</v>
      </c>
      <c r="AJ834" s="549">
        <f t="shared" si="359"/>
        <v>214</v>
      </c>
      <c r="AK834" s="549">
        <f t="shared" si="360"/>
        <v>107</v>
      </c>
      <c r="AL834" s="549">
        <f t="shared" si="361"/>
        <v>321</v>
      </c>
      <c r="AM834" s="556">
        <f t="shared" si="351"/>
        <v>225</v>
      </c>
      <c r="AN834" s="562">
        <f t="shared" si="362"/>
        <v>150</v>
      </c>
      <c r="AO834" s="552">
        <f t="shared" si="363"/>
        <v>75</v>
      </c>
      <c r="AP834" s="556">
        <f t="shared" si="352"/>
        <v>234</v>
      </c>
      <c r="AQ834" s="562">
        <f t="shared" si="364"/>
        <v>156</v>
      </c>
      <c r="AR834" s="552">
        <f t="shared" si="365"/>
        <v>78</v>
      </c>
      <c r="AS834" s="556">
        <f t="shared" si="366"/>
        <v>240</v>
      </c>
      <c r="AT834" s="562">
        <f t="shared" si="367"/>
        <v>160</v>
      </c>
      <c r="AU834" s="552">
        <f t="shared" si="368"/>
        <v>80</v>
      </c>
      <c r="AV834" s="556">
        <f t="shared" si="369"/>
        <v>244</v>
      </c>
      <c r="AW834" s="562">
        <f t="shared" si="370"/>
        <v>163</v>
      </c>
      <c r="AX834" s="552">
        <f t="shared" si="371"/>
        <v>81</v>
      </c>
      <c r="AY834" s="556">
        <f t="shared" si="372"/>
        <v>248</v>
      </c>
      <c r="AZ834" s="562">
        <f t="shared" si="373"/>
        <v>165</v>
      </c>
      <c r="BA834" s="552">
        <f t="shared" si="374"/>
        <v>83</v>
      </c>
      <c r="BB834" s="556">
        <f t="shared" si="375"/>
        <v>252</v>
      </c>
      <c r="BC834" s="562">
        <f t="shared" si="376"/>
        <v>168</v>
      </c>
      <c r="BD834" s="552">
        <f t="shared" si="377"/>
        <v>84</v>
      </c>
    </row>
    <row r="835" spans="1:56" x14ac:dyDescent="0.25">
      <c r="A835" s="21">
        <f>A$11</f>
        <v>1642</v>
      </c>
      <c r="B835" s="149">
        <f t="shared" si="378"/>
        <v>3.1407035175879394E-2</v>
      </c>
      <c r="C835" s="20">
        <f t="shared" si="380"/>
        <v>7</v>
      </c>
      <c r="D835" s="249">
        <f>'Appendix J-2'!AH56</f>
        <v>15</v>
      </c>
      <c r="E835" s="22">
        <f t="shared" si="353"/>
        <v>115.06666666666666</v>
      </c>
      <c r="F835" s="249">
        <f>'Appendix J-2'!AJ56</f>
        <v>1726</v>
      </c>
      <c r="G835" s="24">
        <f t="shared" si="354"/>
        <v>236.5092062572422</v>
      </c>
      <c r="H835" s="248">
        <f>'Appendix J-2'!AL56</f>
        <v>408214.89</v>
      </c>
      <c r="I835" s="688"/>
      <c r="J835" s="205"/>
      <c r="N835" s="453">
        <f t="shared" si="355"/>
        <v>1642</v>
      </c>
      <c r="O835" s="584">
        <f t="shared" si="379"/>
        <v>3.1407035175879394E-2</v>
      </c>
      <c r="P835" s="586">
        <f t="shared" si="381"/>
        <v>7</v>
      </c>
      <c r="Q835" s="452">
        <f t="shared" si="356"/>
        <v>16</v>
      </c>
      <c r="R835" s="451">
        <f t="shared" si="357"/>
        <v>108</v>
      </c>
      <c r="S835" s="452">
        <f t="shared" si="358"/>
        <v>1728</v>
      </c>
      <c r="T835" s="682" t="s">
        <v>610</v>
      </c>
      <c r="U835" s="683"/>
      <c r="V835" s="683"/>
      <c r="W835" s="683"/>
      <c r="X835" s="683"/>
      <c r="Y835" s="406" t="s">
        <v>593</v>
      </c>
      <c r="Z835" s="405" t="s">
        <v>594</v>
      </c>
      <c r="AA835" s="409">
        <f>D981+D1467</f>
        <v>9</v>
      </c>
      <c r="AB835" s="412">
        <f>D981/AA835</f>
        <v>0.88888888888888884</v>
      </c>
      <c r="AC835" s="412">
        <f>D1467/AA835</f>
        <v>0.1111111111111111</v>
      </c>
      <c r="AD835" s="414">
        <f t="shared" si="348"/>
        <v>1</v>
      </c>
      <c r="AE835" s="463">
        <f>F981+F1467</f>
        <v>2517</v>
      </c>
      <c r="AF835" s="464">
        <f>F981/AE835</f>
        <v>0.91656734207389745</v>
      </c>
      <c r="AG835" s="464">
        <f>F1467/AE835</f>
        <v>8.3432657926102508E-2</v>
      </c>
      <c r="AH835" s="465">
        <f t="shared" si="349"/>
        <v>1</v>
      </c>
      <c r="AI835" s="413">
        <f t="shared" si="350"/>
        <v>7.569386038687973E-3</v>
      </c>
      <c r="AJ835" s="549">
        <f t="shared" si="359"/>
        <v>8</v>
      </c>
      <c r="AK835" s="549">
        <f t="shared" si="360"/>
        <v>1</v>
      </c>
      <c r="AL835" s="549">
        <f t="shared" si="361"/>
        <v>9</v>
      </c>
      <c r="AM835" s="556">
        <f t="shared" si="351"/>
        <v>6</v>
      </c>
      <c r="AN835" s="562">
        <f t="shared" si="362"/>
        <v>5</v>
      </c>
      <c r="AO835" s="552">
        <f t="shared" si="363"/>
        <v>1</v>
      </c>
      <c r="AP835" s="556">
        <f t="shared" si="352"/>
        <v>7</v>
      </c>
      <c r="AQ835" s="562">
        <f t="shared" si="364"/>
        <v>6</v>
      </c>
      <c r="AR835" s="552">
        <f t="shared" si="365"/>
        <v>1</v>
      </c>
      <c r="AS835" s="556">
        <f t="shared" si="366"/>
        <v>7</v>
      </c>
      <c r="AT835" s="562">
        <f t="shared" si="367"/>
        <v>6</v>
      </c>
      <c r="AU835" s="552">
        <f t="shared" si="368"/>
        <v>1</v>
      </c>
      <c r="AV835" s="556">
        <f t="shared" si="369"/>
        <v>7</v>
      </c>
      <c r="AW835" s="562">
        <f t="shared" si="370"/>
        <v>6</v>
      </c>
      <c r="AX835" s="552">
        <f t="shared" si="371"/>
        <v>1</v>
      </c>
      <c r="AY835" s="556">
        <f t="shared" si="372"/>
        <v>7</v>
      </c>
      <c r="AZ835" s="562">
        <f t="shared" si="373"/>
        <v>6</v>
      </c>
      <c r="BA835" s="552">
        <f t="shared" si="374"/>
        <v>1</v>
      </c>
      <c r="BB835" s="556">
        <f t="shared" si="375"/>
        <v>7</v>
      </c>
      <c r="BC835" s="562">
        <f t="shared" si="376"/>
        <v>6</v>
      </c>
      <c r="BD835" s="552">
        <f t="shared" si="377"/>
        <v>1</v>
      </c>
    </row>
    <row r="836" spans="1:56" x14ac:dyDescent="0.25">
      <c r="A836" s="21">
        <f>A$12</f>
        <v>1675</v>
      </c>
      <c r="B836" s="149">
        <f t="shared" si="378"/>
        <v>2.0097442143727162E-2</v>
      </c>
      <c r="C836" s="20">
        <f t="shared" si="380"/>
        <v>8</v>
      </c>
      <c r="D836" s="249">
        <f>'Appendix J-2'!AM56</f>
        <v>10</v>
      </c>
      <c r="E836" s="22">
        <f t="shared" si="353"/>
        <v>134.80000000000001</v>
      </c>
      <c r="F836" s="249">
        <f>'Appendix J-2'!AO56</f>
        <v>1348</v>
      </c>
      <c r="G836" s="24">
        <f t="shared" si="354"/>
        <v>256.03000000000003</v>
      </c>
      <c r="H836" s="248">
        <f>'Appendix J-2'!AQ56</f>
        <v>345128.44</v>
      </c>
      <c r="I836" s="688"/>
      <c r="J836" s="205"/>
      <c r="N836" s="453">
        <f t="shared" si="355"/>
        <v>1675</v>
      </c>
      <c r="O836" s="584">
        <f t="shared" si="379"/>
        <v>2.0097442143727162E-2</v>
      </c>
      <c r="P836" s="586">
        <f t="shared" si="381"/>
        <v>8</v>
      </c>
      <c r="Q836" s="452">
        <f t="shared" si="356"/>
        <v>11</v>
      </c>
      <c r="R836" s="451">
        <f t="shared" si="357"/>
        <v>123</v>
      </c>
      <c r="S836" s="452">
        <f t="shared" si="358"/>
        <v>1353</v>
      </c>
      <c r="T836" s="587"/>
      <c r="U836" s="685" t="s">
        <v>154</v>
      </c>
      <c r="V836" s="685"/>
      <c r="W836" s="685" t="s">
        <v>609</v>
      </c>
      <c r="X836" s="685"/>
      <c r="Y836" s="406" t="s">
        <v>595</v>
      </c>
      <c r="Z836" s="405" t="s">
        <v>596</v>
      </c>
      <c r="AA836" s="409">
        <f>D999+D1485</f>
        <v>33</v>
      </c>
      <c r="AB836" s="412">
        <f>D999/AA836</f>
        <v>0.78787878787878785</v>
      </c>
      <c r="AC836" s="412">
        <f>D1485/AA836</f>
        <v>0.21212121212121213</v>
      </c>
      <c r="AD836" s="414">
        <f t="shared" si="348"/>
        <v>1</v>
      </c>
      <c r="AE836" s="463">
        <f>F999+F1485</f>
        <v>7579</v>
      </c>
      <c r="AF836" s="464">
        <f>F999/AE836</f>
        <v>0.83098034041430269</v>
      </c>
      <c r="AG836" s="464">
        <f>F1485/AE836</f>
        <v>0.16901965958569731</v>
      </c>
      <c r="AH836" s="465">
        <f t="shared" si="349"/>
        <v>1</v>
      </c>
      <c r="AI836" s="413">
        <f t="shared" si="350"/>
        <v>2.7754415475189236E-2</v>
      </c>
      <c r="AJ836" s="549">
        <f t="shared" si="359"/>
        <v>26</v>
      </c>
      <c r="AK836" s="549">
        <f t="shared" si="360"/>
        <v>7</v>
      </c>
      <c r="AL836" s="549">
        <f t="shared" si="361"/>
        <v>33</v>
      </c>
      <c r="AM836" s="556">
        <f t="shared" si="351"/>
        <v>23</v>
      </c>
      <c r="AN836" s="562">
        <f t="shared" si="362"/>
        <v>18</v>
      </c>
      <c r="AO836" s="552">
        <f t="shared" si="363"/>
        <v>5</v>
      </c>
      <c r="AP836" s="556">
        <f t="shared" si="352"/>
        <v>24</v>
      </c>
      <c r="AQ836" s="562">
        <f t="shared" si="364"/>
        <v>19</v>
      </c>
      <c r="AR836" s="552">
        <f t="shared" si="365"/>
        <v>5</v>
      </c>
      <c r="AS836" s="556">
        <f t="shared" si="366"/>
        <v>25</v>
      </c>
      <c r="AT836" s="562">
        <f t="shared" si="367"/>
        <v>20</v>
      </c>
      <c r="AU836" s="552">
        <f t="shared" si="368"/>
        <v>5</v>
      </c>
      <c r="AV836" s="556">
        <f t="shared" si="369"/>
        <v>25</v>
      </c>
      <c r="AW836" s="562">
        <f t="shared" si="370"/>
        <v>20</v>
      </c>
      <c r="AX836" s="552">
        <f t="shared" si="371"/>
        <v>5</v>
      </c>
      <c r="AY836" s="556">
        <f t="shared" si="372"/>
        <v>25</v>
      </c>
      <c r="AZ836" s="562">
        <f t="shared" si="373"/>
        <v>20</v>
      </c>
      <c r="BA836" s="552">
        <f t="shared" si="374"/>
        <v>5</v>
      </c>
      <c r="BB836" s="556">
        <f t="shared" si="375"/>
        <v>26</v>
      </c>
      <c r="BC836" s="562">
        <f t="shared" si="376"/>
        <v>20</v>
      </c>
      <c r="BD836" s="552">
        <f t="shared" si="377"/>
        <v>6</v>
      </c>
    </row>
    <row r="837" spans="1:56" x14ac:dyDescent="0.25">
      <c r="A837" s="21">
        <f>A$13</f>
        <v>1739</v>
      </c>
      <c r="B837" s="149">
        <f t="shared" si="378"/>
        <v>3.8208955223880597E-2</v>
      </c>
      <c r="C837" s="20">
        <f t="shared" si="380"/>
        <v>9</v>
      </c>
      <c r="D837" s="249">
        <f>'Appendix J-2'!AR56</f>
        <v>5</v>
      </c>
      <c r="E837" s="22">
        <f t="shared" si="353"/>
        <v>240.8</v>
      </c>
      <c r="F837" s="249">
        <f>'Appendix J-2'!AT56</f>
        <v>1204</v>
      </c>
      <c r="G837" s="24">
        <f t="shared" si="354"/>
        <v>253.85674418604654</v>
      </c>
      <c r="H837" s="248">
        <f>'Appendix J-2'!AV56</f>
        <v>305643.52000000002</v>
      </c>
      <c r="I837" s="688"/>
      <c r="J837" s="205"/>
      <c r="N837" s="453">
        <f t="shared" si="355"/>
        <v>1739</v>
      </c>
      <c r="O837" s="584">
        <f t="shared" si="379"/>
        <v>3.8208955223880597E-2</v>
      </c>
      <c r="P837" s="586">
        <f t="shared" si="381"/>
        <v>9</v>
      </c>
      <c r="Q837" s="452">
        <f t="shared" si="356"/>
        <v>5</v>
      </c>
      <c r="R837" s="451">
        <f t="shared" si="357"/>
        <v>240.8</v>
      </c>
      <c r="S837" s="452">
        <f t="shared" si="358"/>
        <v>1204</v>
      </c>
      <c r="T837" s="587"/>
      <c r="U837" s="458" t="s">
        <v>608</v>
      </c>
      <c r="V837" s="458" t="s">
        <v>578</v>
      </c>
      <c r="W837" s="458" t="s">
        <v>608</v>
      </c>
      <c r="X837" s="458" t="s">
        <v>578</v>
      </c>
      <c r="Y837" s="406" t="s">
        <v>597</v>
      </c>
      <c r="Z837" s="405" t="s">
        <v>598</v>
      </c>
      <c r="AA837" s="409">
        <f>D1017+D1503</f>
        <v>223</v>
      </c>
      <c r="AB837" s="412">
        <f>D1017/AA837</f>
        <v>0.49327354260089684</v>
      </c>
      <c r="AC837" s="412">
        <f>D1503/AA837</f>
        <v>0.50672645739910316</v>
      </c>
      <c r="AD837" s="414">
        <f t="shared" si="348"/>
        <v>1</v>
      </c>
      <c r="AE837" s="463">
        <f>+F1017+F1503</f>
        <v>53080</v>
      </c>
      <c r="AF837" s="464">
        <f>F1017/AE837</f>
        <v>0.47575357950263752</v>
      </c>
      <c r="AG837" s="464">
        <f>F1503/AE837</f>
        <v>0.52424642049736248</v>
      </c>
      <c r="AH837" s="465">
        <f t="shared" si="349"/>
        <v>1</v>
      </c>
      <c r="AI837" s="413">
        <f t="shared" si="350"/>
        <v>0.18755256518082422</v>
      </c>
      <c r="AJ837" s="549">
        <f t="shared" si="359"/>
        <v>110</v>
      </c>
      <c r="AK837" s="549">
        <f t="shared" si="360"/>
        <v>113</v>
      </c>
      <c r="AL837" s="549">
        <f t="shared" si="361"/>
        <v>223</v>
      </c>
      <c r="AM837" s="556">
        <f t="shared" si="351"/>
        <v>156</v>
      </c>
      <c r="AN837" s="562">
        <f t="shared" si="362"/>
        <v>77</v>
      </c>
      <c r="AO837" s="552">
        <f t="shared" si="363"/>
        <v>79</v>
      </c>
      <c r="AP837" s="556">
        <f t="shared" si="352"/>
        <v>162</v>
      </c>
      <c r="AQ837" s="562">
        <f t="shared" si="364"/>
        <v>80</v>
      </c>
      <c r="AR837" s="552">
        <f t="shared" si="365"/>
        <v>82</v>
      </c>
      <c r="AS837" s="556">
        <f t="shared" si="366"/>
        <v>167</v>
      </c>
      <c r="AT837" s="562">
        <f t="shared" si="367"/>
        <v>82</v>
      </c>
      <c r="AU837" s="552">
        <f t="shared" si="368"/>
        <v>85</v>
      </c>
      <c r="AV837" s="556">
        <f t="shared" si="369"/>
        <v>169</v>
      </c>
      <c r="AW837" s="562">
        <f t="shared" si="370"/>
        <v>83</v>
      </c>
      <c r="AX837" s="552">
        <f t="shared" si="371"/>
        <v>86</v>
      </c>
      <c r="AY837" s="556">
        <f t="shared" si="372"/>
        <v>172</v>
      </c>
      <c r="AZ837" s="562">
        <f t="shared" si="373"/>
        <v>85</v>
      </c>
      <c r="BA837" s="552">
        <f t="shared" si="374"/>
        <v>87</v>
      </c>
      <c r="BB837" s="556">
        <f t="shared" si="375"/>
        <v>175</v>
      </c>
      <c r="BC837" s="562">
        <f t="shared" si="376"/>
        <v>86</v>
      </c>
      <c r="BD837" s="552">
        <f t="shared" si="377"/>
        <v>89</v>
      </c>
    </row>
    <row r="838" spans="1:56" x14ac:dyDescent="0.25">
      <c r="A838" s="21">
        <f>A$14</f>
        <v>1752</v>
      </c>
      <c r="B838" s="149">
        <f t="shared" si="378"/>
        <v>7.4755606670500289E-3</v>
      </c>
      <c r="C838" s="20">
        <f t="shared" si="380"/>
        <v>10</v>
      </c>
      <c r="D838" s="21">
        <f>AN827</f>
        <v>3</v>
      </c>
      <c r="E838" s="22">
        <f>IF(TREND($E$829:$E$837,$C$829:$C$837,C838)&lt;365,TREND($E$829:$E$837,$C$829:$C$837,C838),365)</f>
        <v>163.23480428589124</v>
      </c>
      <c r="F838" s="21">
        <f t="shared" ref="F838" si="382">D838*E838</f>
        <v>489.70441285767373</v>
      </c>
      <c r="G838" s="24">
        <f>'DDS Rates for Amend'!AX17</f>
        <v>232.78</v>
      </c>
      <c r="H838" s="33">
        <f t="shared" ref="H838:H843" si="383">F838*G838</f>
        <v>113993.39322500929</v>
      </c>
      <c r="I838" s="688"/>
      <c r="J838" s="205"/>
      <c r="N838" s="453">
        <f t="shared" si="355"/>
        <v>1752</v>
      </c>
      <c r="O838" s="584">
        <f t="shared" si="379"/>
        <v>7.4755606670500289E-3</v>
      </c>
      <c r="P838" s="586">
        <f t="shared" si="381"/>
        <v>10</v>
      </c>
      <c r="Q838" s="453">
        <f>ROUND(IF(TREND($Q$829:$Q$837,$N$829:$N$837,N838)&gt;0, TREND($Q$829:$Q$837,$N$829:$N$837,N838),0),0)</f>
        <v>10</v>
      </c>
      <c r="R838" s="451">
        <f>IF(TREND($R$829:$R$837,$N$829:$N$837,N838)&lt;365,TREND($R$829:$R$837,$N$829:$N$837,N838),365)</f>
        <v>170.9752493047306</v>
      </c>
      <c r="S838" s="453">
        <f t="shared" ref="S838:S843" si="384">Q838*R838</f>
        <v>1709.752493047306</v>
      </c>
      <c r="T838" s="587">
        <v>10</v>
      </c>
      <c r="U838" s="459">
        <f>Q838*$AB$827</f>
        <v>10</v>
      </c>
      <c r="V838" s="459">
        <f>Q838*$AC$827</f>
        <v>0</v>
      </c>
      <c r="W838" s="459">
        <f>R838*$AF$827</f>
        <v>170.9752493047306</v>
      </c>
      <c r="X838" s="459">
        <f>R838*$AG$827</f>
        <v>0</v>
      </c>
      <c r="Y838" s="410" t="s">
        <v>599</v>
      </c>
      <c r="Z838" s="405" t="s">
        <v>600</v>
      </c>
      <c r="AA838" s="409">
        <f>D1053+D1539</f>
        <v>82</v>
      </c>
      <c r="AB838" s="412">
        <f>D1053/AA838</f>
        <v>0.65853658536585369</v>
      </c>
      <c r="AC838" s="412">
        <f>D1539/AA838</f>
        <v>0.34146341463414637</v>
      </c>
      <c r="AD838" s="414">
        <f t="shared" si="348"/>
        <v>1</v>
      </c>
      <c r="AE838" s="463">
        <f>+F1053+F1539</f>
        <v>17497</v>
      </c>
      <c r="AF838" s="464">
        <f>F1053/AE838</f>
        <v>0.61987769331885467</v>
      </c>
      <c r="AG838" s="464">
        <f>F1539/AE838</f>
        <v>0.38012230668114533</v>
      </c>
      <c r="AH838" s="465">
        <f t="shared" si="349"/>
        <v>1</v>
      </c>
      <c r="AI838" s="413">
        <f t="shared" si="350"/>
        <v>6.8965517241379309E-2</v>
      </c>
      <c r="AJ838" s="549">
        <f t="shared" si="359"/>
        <v>54</v>
      </c>
      <c r="AK838" s="549">
        <f t="shared" si="360"/>
        <v>28.000000000000004</v>
      </c>
      <c r="AL838" s="549">
        <f t="shared" si="361"/>
        <v>82</v>
      </c>
      <c r="AM838" s="556">
        <f t="shared" si="351"/>
        <v>57</v>
      </c>
      <c r="AN838" s="562">
        <f t="shared" si="362"/>
        <v>38</v>
      </c>
      <c r="AO838" s="552">
        <f t="shared" si="363"/>
        <v>19</v>
      </c>
      <c r="AP838" s="556">
        <f t="shared" si="352"/>
        <v>60</v>
      </c>
      <c r="AQ838" s="562">
        <f t="shared" si="364"/>
        <v>40</v>
      </c>
      <c r="AR838" s="552">
        <f t="shared" si="365"/>
        <v>20</v>
      </c>
      <c r="AS838" s="556">
        <f t="shared" si="366"/>
        <v>61</v>
      </c>
      <c r="AT838" s="562">
        <f t="shared" si="367"/>
        <v>40</v>
      </c>
      <c r="AU838" s="552">
        <f t="shared" si="368"/>
        <v>21</v>
      </c>
      <c r="AV838" s="556">
        <f t="shared" si="369"/>
        <v>62</v>
      </c>
      <c r="AW838" s="562">
        <f t="shared" si="370"/>
        <v>41</v>
      </c>
      <c r="AX838" s="552">
        <f t="shared" si="371"/>
        <v>21</v>
      </c>
      <c r="AY838" s="556">
        <f t="shared" si="372"/>
        <v>63</v>
      </c>
      <c r="AZ838" s="562">
        <f t="shared" si="373"/>
        <v>41</v>
      </c>
      <c r="BA838" s="552">
        <f t="shared" si="374"/>
        <v>22</v>
      </c>
      <c r="BB838" s="556">
        <f t="shared" si="375"/>
        <v>64</v>
      </c>
      <c r="BC838" s="562">
        <f t="shared" si="376"/>
        <v>42</v>
      </c>
      <c r="BD838" s="552">
        <f t="shared" si="377"/>
        <v>22</v>
      </c>
    </row>
    <row r="839" spans="1:56" x14ac:dyDescent="0.25">
      <c r="A839" s="21">
        <f>A$15</f>
        <v>1822</v>
      </c>
      <c r="B839" s="149">
        <f t="shared" si="378"/>
        <v>3.9954337899543377E-2</v>
      </c>
      <c r="C839" s="20">
        <f t="shared" si="380"/>
        <v>11</v>
      </c>
      <c r="D839" s="21">
        <f>AQ827</f>
        <v>4</v>
      </c>
      <c r="E839" s="22">
        <f t="shared" ref="E839:E843" si="385">IF(TREND($E$829:$E$837,$C$829:$C$837,C839)&lt;365,TREND($E$829:$E$837,$C$829:$C$837,C839),365)</f>
        <v>158.75880094140965</v>
      </c>
      <c r="F839" s="21">
        <f t="shared" ref="F839:F843" si="386">D839*E839</f>
        <v>635.03520376563858</v>
      </c>
      <c r="G839" s="24">
        <f>'DDS Rates for Amend'!AX18</f>
        <v>238.83228</v>
      </c>
      <c r="H839" s="33">
        <f t="shared" si="383"/>
        <v>151666.90559561204</v>
      </c>
      <c r="I839" s="688"/>
      <c r="J839" s="205"/>
      <c r="N839" s="453">
        <f t="shared" si="355"/>
        <v>1822</v>
      </c>
      <c r="O839" s="584">
        <f t="shared" si="379"/>
        <v>3.9954337899543377E-2</v>
      </c>
      <c r="P839" s="586">
        <f t="shared" si="381"/>
        <v>11</v>
      </c>
      <c r="Q839" s="453">
        <f t="shared" ref="Q839:Q843" si="387">ROUND(IF(TREND($Q$829:$Q$837,$N$829:$N$837,N839)&gt;0, TREND($Q$829:$Q$837,$N$829:$N$837,N839),0),0)</f>
        <v>8</v>
      </c>
      <c r="R839" s="451">
        <f t="shared" ref="R839:R843" si="388">IF(TREND($R$829:$R$837,$N$829:$N$837,N839)&lt;365,TREND($R$829:$R$837,$N$829:$N$837,N839),365)</f>
        <v>167.28777216680169</v>
      </c>
      <c r="S839" s="453">
        <f t="shared" si="384"/>
        <v>1338.3021773344135</v>
      </c>
      <c r="T839" s="587">
        <v>11</v>
      </c>
      <c r="U839" s="459">
        <f t="shared" ref="U839:U843" si="389">Q839*$AB$827</f>
        <v>8</v>
      </c>
      <c r="V839" s="459">
        <f t="shared" ref="V839:V843" si="390">Q839*$AC$827</f>
        <v>0</v>
      </c>
      <c r="W839" s="459">
        <f t="shared" ref="W839:W843" si="391">R839*$AF$827</f>
        <v>167.28777216680169</v>
      </c>
      <c r="X839" s="459">
        <f t="shared" ref="X839:X843" si="392">R839*$AG$827</f>
        <v>0</v>
      </c>
      <c r="Y839" s="410" t="s">
        <v>601</v>
      </c>
      <c r="Z839" s="405" t="s">
        <v>602</v>
      </c>
      <c r="AA839" s="409">
        <f>D1035+D1521</f>
        <v>1</v>
      </c>
      <c r="AB839" s="412">
        <f>D1035/AA839</f>
        <v>1</v>
      </c>
      <c r="AC839" s="412">
        <f>D1521/AA839</f>
        <v>0</v>
      </c>
      <c r="AD839" s="414">
        <f t="shared" si="348"/>
        <v>1</v>
      </c>
      <c r="AE839" s="463">
        <f>+F1035+F1521</f>
        <v>226</v>
      </c>
      <c r="AF839" s="464">
        <f>F1035/AE839</f>
        <v>1</v>
      </c>
      <c r="AG839" s="464">
        <f>F1521/AE839</f>
        <v>0</v>
      </c>
      <c r="AH839" s="465">
        <f t="shared" si="349"/>
        <v>1</v>
      </c>
      <c r="AI839" s="413">
        <f t="shared" si="350"/>
        <v>8.4104289318755253E-4</v>
      </c>
      <c r="AJ839" s="549">
        <f t="shared" si="359"/>
        <v>1</v>
      </c>
      <c r="AK839" s="549">
        <f t="shared" si="360"/>
        <v>0</v>
      </c>
      <c r="AL839" s="549">
        <f t="shared" si="361"/>
        <v>1</v>
      </c>
      <c r="AM839" s="556">
        <f t="shared" si="351"/>
        <v>1</v>
      </c>
      <c r="AN839" s="562">
        <f t="shared" si="362"/>
        <v>1</v>
      </c>
      <c r="AO839" s="552">
        <f t="shared" si="363"/>
        <v>0</v>
      </c>
      <c r="AP839" s="556">
        <f t="shared" si="352"/>
        <v>1</v>
      </c>
      <c r="AQ839" s="562">
        <f t="shared" si="364"/>
        <v>1</v>
      </c>
      <c r="AR839" s="552">
        <f t="shared" si="365"/>
        <v>0</v>
      </c>
      <c r="AS839" s="556">
        <f t="shared" si="366"/>
        <v>1</v>
      </c>
      <c r="AT839" s="562">
        <f t="shared" si="367"/>
        <v>1</v>
      </c>
      <c r="AU839" s="552">
        <f t="shared" si="368"/>
        <v>0</v>
      </c>
      <c r="AV839" s="556">
        <f t="shared" si="369"/>
        <v>1</v>
      </c>
      <c r="AW839" s="562">
        <f t="shared" si="370"/>
        <v>1</v>
      </c>
      <c r="AX839" s="552">
        <f t="shared" si="371"/>
        <v>0</v>
      </c>
      <c r="AY839" s="556">
        <f t="shared" si="372"/>
        <v>1</v>
      </c>
      <c r="AZ839" s="562">
        <f t="shared" si="373"/>
        <v>1</v>
      </c>
      <c r="BA839" s="552">
        <f t="shared" si="374"/>
        <v>0</v>
      </c>
      <c r="BB839" s="556">
        <f t="shared" si="375"/>
        <v>1</v>
      </c>
      <c r="BC839" s="562">
        <f t="shared" si="376"/>
        <v>1</v>
      </c>
      <c r="BD839" s="552">
        <f t="shared" si="377"/>
        <v>0</v>
      </c>
    </row>
    <row r="840" spans="1:56" x14ac:dyDescent="0.25">
      <c r="A840" s="21">
        <f>A$16</f>
        <v>1872</v>
      </c>
      <c r="B840" s="149">
        <f t="shared" si="378"/>
        <v>2.7442371020856202E-2</v>
      </c>
      <c r="C840" s="20">
        <f t="shared" si="380"/>
        <v>12</v>
      </c>
      <c r="D840" s="21">
        <f>AT827</f>
        <v>4</v>
      </c>
      <c r="E840" s="22">
        <f t="shared" si="385"/>
        <v>154.28279759692805</v>
      </c>
      <c r="F840" s="21">
        <f t="shared" si="386"/>
        <v>617.13119038771219</v>
      </c>
      <c r="G840" s="24">
        <f>'DDS Rates for Amend'!AX19</f>
        <v>245.04191928</v>
      </c>
      <c r="H840" s="33">
        <f t="shared" si="383"/>
        <v>151223.01134015608</v>
      </c>
      <c r="I840" s="688"/>
      <c r="J840" s="205"/>
      <c r="N840" s="453">
        <f t="shared" si="355"/>
        <v>1872</v>
      </c>
      <c r="O840" s="584">
        <f t="shared" si="379"/>
        <v>2.7442371020856202E-2</v>
      </c>
      <c r="P840" s="586">
        <f t="shared" si="381"/>
        <v>12</v>
      </c>
      <c r="Q840" s="453">
        <f t="shared" si="387"/>
        <v>7</v>
      </c>
      <c r="R840" s="451">
        <f t="shared" si="388"/>
        <v>164.65385992542389</v>
      </c>
      <c r="S840" s="453">
        <f t="shared" si="384"/>
        <v>1152.5770194779673</v>
      </c>
      <c r="T840" s="587">
        <v>12</v>
      </c>
      <c r="U840" s="459">
        <f t="shared" si="389"/>
        <v>7</v>
      </c>
      <c r="V840" s="459">
        <f t="shared" si="390"/>
        <v>0</v>
      </c>
      <c r="W840" s="459">
        <f t="shared" si="391"/>
        <v>164.65385992542389</v>
      </c>
      <c r="X840" s="459">
        <f t="shared" si="392"/>
        <v>0</v>
      </c>
      <c r="Y840" s="410" t="s">
        <v>599</v>
      </c>
      <c r="Z840" s="405" t="s">
        <v>607</v>
      </c>
      <c r="AA840" s="409">
        <f>D1611+D1629</f>
        <v>26</v>
      </c>
      <c r="AB840" s="412">
        <f>D1611/AA840</f>
        <v>0.5</v>
      </c>
      <c r="AC840" s="412">
        <f>D1629/AA840</f>
        <v>0.5</v>
      </c>
      <c r="AD840" s="414">
        <f t="shared" si="348"/>
        <v>1</v>
      </c>
      <c r="AE840" s="463">
        <f>+F1611+F1629</f>
        <v>6905</v>
      </c>
      <c r="AF840" s="464">
        <f>F1611/AE840</f>
        <v>0.50832729905865315</v>
      </c>
      <c r="AG840" s="464">
        <f>F1629/AE840</f>
        <v>0.49167270094134685</v>
      </c>
      <c r="AH840" s="465">
        <f t="shared" si="349"/>
        <v>1</v>
      </c>
      <c r="AI840" s="413">
        <f t="shared" si="350"/>
        <v>2.1867115222876366E-2</v>
      </c>
      <c r="AJ840" s="549">
        <f t="shared" si="359"/>
        <v>13</v>
      </c>
      <c r="AK840" s="549">
        <f t="shared" si="360"/>
        <v>13</v>
      </c>
      <c r="AL840" s="549">
        <f t="shared" si="361"/>
        <v>26</v>
      </c>
      <c r="AM840" s="556">
        <f t="shared" si="351"/>
        <v>18</v>
      </c>
      <c r="AN840" s="562">
        <f t="shared" si="362"/>
        <v>9</v>
      </c>
      <c r="AO840" s="552">
        <f t="shared" si="363"/>
        <v>9</v>
      </c>
      <c r="AP840" s="556">
        <f t="shared" si="352"/>
        <v>19</v>
      </c>
      <c r="AQ840" s="562">
        <f t="shared" si="364"/>
        <v>10</v>
      </c>
      <c r="AR840" s="552">
        <f t="shared" si="365"/>
        <v>10</v>
      </c>
      <c r="AS840" s="556">
        <f t="shared" si="366"/>
        <v>19</v>
      </c>
      <c r="AT840" s="562">
        <f t="shared" si="367"/>
        <v>10</v>
      </c>
      <c r="AU840" s="552">
        <f t="shared" si="368"/>
        <v>10</v>
      </c>
      <c r="AV840" s="556">
        <f t="shared" si="369"/>
        <v>20</v>
      </c>
      <c r="AW840" s="562">
        <f t="shared" si="370"/>
        <v>10</v>
      </c>
      <c r="AX840" s="552">
        <f t="shared" si="371"/>
        <v>10</v>
      </c>
      <c r="AY840" s="556">
        <f t="shared" si="372"/>
        <v>20</v>
      </c>
      <c r="AZ840" s="562">
        <f t="shared" si="373"/>
        <v>10</v>
      </c>
      <c r="BA840" s="552">
        <f t="shared" si="374"/>
        <v>10</v>
      </c>
      <c r="BB840" s="556">
        <f t="shared" si="375"/>
        <v>20</v>
      </c>
      <c r="BC840" s="562">
        <f t="shared" si="376"/>
        <v>10</v>
      </c>
      <c r="BD840" s="552">
        <f t="shared" si="377"/>
        <v>10</v>
      </c>
    </row>
    <row r="841" spans="1:56" ht="15.75" thickBot="1" x14ac:dyDescent="0.3">
      <c r="A841" s="21">
        <f>A$17</f>
        <v>1902</v>
      </c>
      <c r="B841" s="149">
        <f t="shared" si="378"/>
        <v>1.6025641025641024E-2</v>
      </c>
      <c r="C841" s="20">
        <f t="shared" si="380"/>
        <v>13</v>
      </c>
      <c r="D841" s="21">
        <f>AW827</f>
        <v>4</v>
      </c>
      <c r="E841" s="22">
        <f t="shared" si="385"/>
        <v>149.80679425244645</v>
      </c>
      <c r="F841" s="21">
        <f t="shared" si="386"/>
        <v>599.22717700978581</v>
      </c>
      <c r="G841" s="24">
        <f>'DDS Rates for Amend'!AX20</f>
        <v>251.41300918127999</v>
      </c>
      <c r="H841" s="33">
        <f t="shared" si="383"/>
        <v>150653.50775523376</v>
      </c>
      <c r="I841" s="688"/>
      <c r="J841" s="205"/>
      <c r="N841" s="453">
        <f t="shared" si="355"/>
        <v>1902</v>
      </c>
      <c r="O841" s="584">
        <f t="shared" si="379"/>
        <v>1.6025641025641024E-2</v>
      </c>
      <c r="P841" s="586">
        <f t="shared" si="381"/>
        <v>13</v>
      </c>
      <c r="Q841" s="453">
        <f t="shared" si="387"/>
        <v>6</v>
      </c>
      <c r="R841" s="451">
        <f t="shared" si="388"/>
        <v>163.07351258059722</v>
      </c>
      <c r="S841" s="453">
        <f t="shared" si="384"/>
        <v>978.44107548358329</v>
      </c>
      <c r="T841" s="587">
        <v>13</v>
      </c>
      <c r="U841" s="459">
        <f t="shared" si="389"/>
        <v>6</v>
      </c>
      <c r="V841" s="459">
        <f t="shared" si="390"/>
        <v>0</v>
      </c>
      <c r="W841" s="459">
        <f t="shared" si="391"/>
        <v>163.07351258059722</v>
      </c>
      <c r="X841" s="459">
        <f t="shared" si="392"/>
        <v>0</v>
      </c>
      <c r="Y841" s="410" t="s">
        <v>579</v>
      </c>
      <c r="Z841" s="405" t="s">
        <v>603</v>
      </c>
      <c r="AA841" s="419">
        <f>D1071+D1557</f>
        <v>180</v>
      </c>
      <c r="AB841" s="412">
        <f>D1071/AA841</f>
        <v>0.73888888888888893</v>
      </c>
      <c r="AC841" s="412">
        <f>D1557/AA841</f>
        <v>0.26111111111111113</v>
      </c>
      <c r="AD841" s="414">
        <f t="shared" si="348"/>
        <v>1</v>
      </c>
      <c r="AE841" s="468">
        <f>+F1071+F1557</f>
        <v>1653194</v>
      </c>
      <c r="AF841" s="464">
        <f>F1071/AE841</f>
        <v>0.73332409868412296</v>
      </c>
      <c r="AG841" s="464">
        <f>F1557/AE841</f>
        <v>0.26667590131587704</v>
      </c>
      <c r="AH841" s="465">
        <f t="shared" si="349"/>
        <v>1</v>
      </c>
      <c r="AI841" s="413">
        <f t="shared" si="350"/>
        <v>0.15138772077375945</v>
      </c>
      <c r="AJ841" s="549">
        <f t="shared" si="359"/>
        <v>133</v>
      </c>
      <c r="AK841" s="549">
        <f t="shared" si="360"/>
        <v>47</v>
      </c>
      <c r="AL841" s="549">
        <f t="shared" si="361"/>
        <v>180</v>
      </c>
      <c r="AM841" s="558">
        <f t="shared" si="351"/>
        <v>126</v>
      </c>
      <c r="AN841" s="564">
        <f t="shared" si="362"/>
        <v>93</v>
      </c>
      <c r="AO841" s="554">
        <f t="shared" si="363"/>
        <v>33</v>
      </c>
      <c r="AP841" s="558">
        <f t="shared" si="352"/>
        <v>131</v>
      </c>
      <c r="AQ841" s="564">
        <f t="shared" si="364"/>
        <v>97</v>
      </c>
      <c r="AR841" s="554">
        <f t="shared" si="365"/>
        <v>34</v>
      </c>
      <c r="AS841" s="558">
        <f t="shared" si="366"/>
        <v>135</v>
      </c>
      <c r="AT841" s="564">
        <f t="shared" si="367"/>
        <v>100</v>
      </c>
      <c r="AU841" s="554">
        <f t="shared" si="368"/>
        <v>35</v>
      </c>
      <c r="AV841" s="558">
        <f t="shared" si="369"/>
        <v>137</v>
      </c>
      <c r="AW841" s="564">
        <f t="shared" si="370"/>
        <v>101</v>
      </c>
      <c r="AX841" s="554">
        <f t="shared" si="371"/>
        <v>36</v>
      </c>
      <c r="AY841" s="558">
        <f t="shared" si="372"/>
        <v>139</v>
      </c>
      <c r="AZ841" s="564">
        <f t="shared" si="373"/>
        <v>103</v>
      </c>
      <c r="BA841" s="554">
        <f t="shared" si="374"/>
        <v>36</v>
      </c>
      <c r="BB841" s="558">
        <f t="shared" si="375"/>
        <v>141</v>
      </c>
      <c r="BC841" s="564">
        <f t="shared" si="376"/>
        <v>104</v>
      </c>
      <c r="BD841" s="554">
        <f t="shared" si="377"/>
        <v>37</v>
      </c>
    </row>
    <row r="842" spans="1:56" x14ac:dyDescent="0.25">
      <c r="A842" s="21">
        <f>A$18</f>
        <v>1932</v>
      </c>
      <c r="B842" s="149">
        <f t="shared" si="378"/>
        <v>1.5772870662460567E-2</v>
      </c>
      <c r="C842" s="20">
        <f t="shared" si="380"/>
        <v>14</v>
      </c>
      <c r="D842" s="21">
        <f>AZ827</f>
        <v>4</v>
      </c>
      <c r="E842" s="22">
        <f t="shared" si="385"/>
        <v>145.33079090796485</v>
      </c>
      <c r="F842" s="21">
        <f t="shared" si="386"/>
        <v>581.32316363185942</v>
      </c>
      <c r="G842" s="24">
        <f>'DDS Rates for Amend'!AX21</f>
        <v>257.94974741999329</v>
      </c>
      <c r="H842" s="33">
        <f t="shared" si="383"/>
        <v>149952.16322822956</v>
      </c>
      <c r="I842" s="688"/>
      <c r="J842" s="205"/>
      <c r="N842" s="453">
        <f t="shared" si="355"/>
        <v>1932</v>
      </c>
      <c r="O842" s="584">
        <f t="shared" si="379"/>
        <v>1.5772870662460567E-2</v>
      </c>
      <c r="P842" s="586">
        <f t="shared" si="381"/>
        <v>14</v>
      </c>
      <c r="Q842" s="453">
        <f t="shared" si="387"/>
        <v>5</v>
      </c>
      <c r="R842" s="451">
        <f t="shared" si="388"/>
        <v>161.49316523577056</v>
      </c>
      <c r="S842" s="453">
        <f t="shared" si="384"/>
        <v>807.46582617885281</v>
      </c>
      <c r="T842" s="587">
        <v>14</v>
      </c>
      <c r="U842" s="459">
        <f t="shared" si="389"/>
        <v>5</v>
      </c>
      <c r="V842" s="459">
        <f t="shared" si="390"/>
        <v>0</v>
      </c>
      <c r="W842" s="459">
        <f t="shared" si="391"/>
        <v>161.49316523577056</v>
      </c>
      <c r="X842" s="459">
        <f t="shared" si="392"/>
        <v>0</v>
      </c>
      <c r="AA842" s="418">
        <f>SUM(AA827:AA841)</f>
        <v>1189</v>
      </c>
      <c r="AE842" s="469">
        <f>SUM(AE827:AE841)</f>
        <v>1895413</v>
      </c>
      <c r="AF842" s="446"/>
      <c r="AG842" s="446"/>
      <c r="AH842" s="446"/>
      <c r="AI842" s="414">
        <f>SUM(AI827:AI841)</f>
        <v>1</v>
      </c>
      <c r="AJ842" s="549">
        <f>SUM(AJ827:AJ841)</f>
        <v>781</v>
      </c>
      <c r="AK842" s="549">
        <f t="shared" ref="AK842:AL842" si="393">SUM(AK827:AK841)</f>
        <v>408</v>
      </c>
      <c r="AL842" s="549">
        <f t="shared" si="393"/>
        <v>1189</v>
      </c>
      <c r="AM842" s="550">
        <f t="shared" ref="AM842:BD842" si="394">SUM(AM827:AM841)</f>
        <v>832</v>
      </c>
      <c r="AN842" s="549">
        <f t="shared" si="394"/>
        <v>548</v>
      </c>
      <c r="AO842" s="549">
        <f t="shared" si="394"/>
        <v>285</v>
      </c>
      <c r="AP842" s="550">
        <f t="shared" si="394"/>
        <v>867</v>
      </c>
      <c r="AQ842" s="549">
        <f t="shared" si="394"/>
        <v>572</v>
      </c>
      <c r="AR842" s="549">
        <f t="shared" si="394"/>
        <v>296</v>
      </c>
      <c r="AS842" s="550">
        <f t="shared" si="394"/>
        <v>890</v>
      </c>
      <c r="AT842" s="549">
        <f t="shared" si="394"/>
        <v>586</v>
      </c>
      <c r="AU842" s="549">
        <f t="shared" si="394"/>
        <v>305</v>
      </c>
      <c r="AV842" s="550">
        <f t="shared" si="394"/>
        <v>903</v>
      </c>
      <c r="AW842" s="549">
        <f t="shared" si="394"/>
        <v>593</v>
      </c>
      <c r="AX842" s="549">
        <f t="shared" si="394"/>
        <v>310</v>
      </c>
      <c r="AY842" s="550">
        <f t="shared" si="394"/>
        <v>917</v>
      </c>
      <c r="AZ842" s="549">
        <f t="shared" si="394"/>
        <v>602</v>
      </c>
      <c r="BA842" s="549">
        <f t="shared" si="394"/>
        <v>315</v>
      </c>
      <c r="BB842" s="550">
        <f t="shared" si="394"/>
        <v>933</v>
      </c>
      <c r="BC842" s="549">
        <f t="shared" si="394"/>
        <v>612</v>
      </c>
      <c r="BD842" s="549">
        <f t="shared" si="394"/>
        <v>321</v>
      </c>
    </row>
    <row r="843" spans="1:56" x14ac:dyDescent="0.25">
      <c r="A843" s="21">
        <f>A$19</f>
        <v>1962</v>
      </c>
      <c r="B843" s="149">
        <f t="shared" si="378"/>
        <v>1.5527950310559006E-2</v>
      </c>
      <c r="C843" s="20">
        <f t="shared" si="380"/>
        <v>15</v>
      </c>
      <c r="D843" s="21">
        <f>BC827</f>
        <v>4</v>
      </c>
      <c r="E843" s="22">
        <f t="shared" si="385"/>
        <v>140.85478756348323</v>
      </c>
      <c r="F843" s="21">
        <f t="shared" si="386"/>
        <v>563.41915025393291</v>
      </c>
      <c r="G843" s="24">
        <f>'DDS Rates for Amend'!AX22</f>
        <v>264.65644085291314</v>
      </c>
      <c r="H843" s="33">
        <f t="shared" si="383"/>
        <v>149112.50701457859</v>
      </c>
      <c r="I843" s="689"/>
      <c r="J843" s="205"/>
      <c r="K843" s="285">
        <f>SUM(H829:H843)</f>
        <v>5925393.3381588189</v>
      </c>
      <c r="L843" s="17">
        <f>IF(K843='Appendix J-2'!CD56,0,error)</f>
        <v>0</v>
      </c>
      <c r="N843" s="453">
        <f t="shared" si="355"/>
        <v>1962</v>
      </c>
      <c r="O843" s="584">
        <f t="shared" si="379"/>
        <v>1.5527950310559006E-2</v>
      </c>
      <c r="P843" s="586">
        <f t="shared" si="381"/>
        <v>15</v>
      </c>
      <c r="Q843" s="453">
        <f t="shared" si="387"/>
        <v>5</v>
      </c>
      <c r="R843" s="451">
        <f t="shared" si="388"/>
        <v>159.91281789094387</v>
      </c>
      <c r="S843" s="453">
        <f t="shared" si="384"/>
        <v>799.56408945471935</v>
      </c>
      <c r="T843" s="587">
        <v>15</v>
      </c>
      <c r="U843" s="459">
        <f t="shared" si="389"/>
        <v>5</v>
      </c>
      <c r="V843" s="459">
        <f t="shared" si="390"/>
        <v>0</v>
      </c>
      <c r="W843" s="459">
        <f t="shared" si="391"/>
        <v>159.91281789094387</v>
      </c>
      <c r="X843" s="459">
        <f t="shared" si="392"/>
        <v>0</v>
      </c>
      <c r="Y843" s="405"/>
      <c r="Z843" s="405"/>
      <c r="AA843" s="405"/>
      <c r="AB843" s="412"/>
      <c r="AC843" s="412"/>
      <c r="AH843" s="17"/>
      <c r="AI843" s="407"/>
      <c r="AJ843" s="413">
        <f>AJ842/AL842</f>
        <v>0.6568544995794785</v>
      </c>
      <c r="AK843" s="413">
        <f>AK842/AL842</f>
        <v>0.34314550042052144</v>
      </c>
      <c r="AL843" s="407"/>
      <c r="AM843" s="407"/>
      <c r="AN843" s="407"/>
      <c r="AO843" s="407"/>
    </row>
    <row r="844" spans="1:56" x14ac:dyDescent="0.25">
      <c r="C844"/>
      <c r="I844" s="568"/>
      <c r="J844"/>
      <c r="N844" s="446"/>
      <c r="O844" s="446"/>
      <c r="P844" s="446"/>
      <c r="Q844" s="466"/>
      <c r="R844" s="454"/>
      <c r="S844" s="446"/>
      <c r="T844" s="446"/>
      <c r="U844" s="446"/>
      <c r="V844" s="446"/>
      <c r="W844" s="446"/>
      <c r="X844" s="446"/>
      <c r="Y844" s="405"/>
      <c r="Z844" s="405"/>
      <c r="AA844" s="405"/>
      <c r="AB844" s="547"/>
      <c r="AC844" s="412"/>
      <c r="AH844" s="17"/>
      <c r="AI844" s="17"/>
    </row>
    <row r="845" spans="1:56" x14ac:dyDescent="0.25">
      <c r="A845" s="271" t="s">
        <v>109</v>
      </c>
      <c r="B845" s="272"/>
      <c r="C845" s="272"/>
      <c r="D845" s="292" t="str">
        <f>'Appendix J-2'!B57</f>
        <v>Assistance</v>
      </c>
      <c r="E845" s="223" t="str">
        <f>'Appendix J-2'!C57</f>
        <v>1 day</v>
      </c>
      <c r="F845" s="690"/>
      <c r="G845" s="690"/>
      <c r="H845" s="690"/>
      <c r="I845" s="687" t="s">
        <v>1109</v>
      </c>
      <c r="J845" s="205"/>
      <c r="N845" s="577" t="s">
        <v>564</v>
      </c>
      <c r="O845" s="578"/>
      <c r="P845" s="578"/>
      <c r="Q845" s="579"/>
      <c r="R845" s="447"/>
      <c r="S845" s="448"/>
      <c r="T845" s="446"/>
      <c r="U845" s="446"/>
      <c r="V845" s="446"/>
      <c r="W845" s="446"/>
      <c r="X845" s="446"/>
      <c r="AB845" s="414"/>
      <c r="AH845" s="17"/>
      <c r="AI845" s="17"/>
    </row>
    <row r="846" spans="1:56" ht="30" x14ac:dyDescent="0.25">
      <c r="A846" s="147" t="s">
        <v>26</v>
      </c>
      <c r="B846" s="147" t="s">
        <v>27</v>
      </c>
      <c r="C846" s="50" t="s">
        <v>166</v>
      </c>
      <c r="D846" s="91" t="s">
        <v>154</v>
      </c>
      <c r="E846" s="89" t="s">
        <v>155</v>
      </c>
      <c r="F846" s="34" t="s">
        <v>158</v>
      </c>
      <c r="G846" s="35" t="s">
        <v>156</v>
      </c>
      <c r="H846" s="51" t="s">
        <v>157</v>
      </c>
      <c r="I846" s="688"/>
      <c r="J846" s="205"/>
      <c r="N846" s="580" t="s">
        <v>26</v>
      </c>
      <c r="O846" s="580" t="s">
        <v>27</v>
      </c>
      <c r="P846" s="471" t="s">
        <v>166</v>
      </c>
      <c r="Q846" s="581" t="s">
        <v>154</v>
      </c>
      <c r="R846" s="449" t="s">
        <v>155</v>
      </c>
      <c r="S846" s="450" t="s">
        <v>158</v>
      </c>
      <c r="T846" s="446"/>
      <c r="U846" s="446"/>
      <c r="V846" s="446"/>
      <c r="W846" s="446"/>
      <c r="X846" s="446"/>
      <c r="Y846" s="405"/>
      <c r="Z846" s="405"/>
      <c r="AA846" s="405"/>
      <c r="AB846" s="547"/>
      <c r="AC846" s="412"/>
      <c r="AH846" s="17"/>
      <c r="AI846" s="17"/>
    </row>
    <row r="847" spans="1:56" ht="15" customHeight="1" x14ac:dyDescent="0.25">
      <c r="A847" s="21">
        <f>A$5</f>
        <v>1182</v>
      </c>
      <c r="B847" s="148"/>
      <c r="C847" s="144">
        <v>1</v>
      </c>
      <c r="D847" s="247">
        <f>'Appendix J-2'!D57</f>
        <v>32</v>
      </c>
      <c r="E847" s="22">
        <f>IF(F847=0,0,F847/D847)</f>
        <v>193.75</v>
      </c>
      <c r="F847" s="247">
        <f>'Appendix J-2'!F57</f>
        <v>6200</v>
      </c>
      <c r="G847" s="24">
        <f>H847/F847</f>
        <v>239.73174193548388</v>
      </c>
      <c r="H847" s="250">
        <f>'Appendix J-2'!H57</f>
        <v>1486336.8</v>
      </c>
      <c r="I847" s="688"/>
      <c r="J847" s="205"/>
      <c r="N847" s="453">
        <f>A847</f>
        <v>1182</v>
      </c>
      <c r="O847" s="582"/>
      <c r="P847" s="583">
        <v>1</v>
      </c>
      <c r="Q847" s="452">
        <f>D847+D1333</f>
        <v>32</v>
      </c>
      <c r="R847" s="451">
        <f>IF(S847=0,0,S847/Q847)</f>
        <v>193.75</v>
      </c>
      <c r="S847" s="452">
        <f>F847+F1333</f>
        <v>6200</v>
      </c>
      <c r="T847" s="446"/>
      <c r="U847" s="446"/>
      <c r="V847" s="446"/>
      <c r="W847" s="446"/>
      <c r="X847" s="446"/>
      <c r="AH847" s="17"/>
      <c r="AI847" s="17"/>
    </row>
    <row r="848" spans="1:56" x14ac:dyDescent="0.25">
      <c r="A848" s="21">
        <f>A$6</f>
        <v>1288</v>
      </c>
      <c r="B848" s="149">
        <f>(A848-A847)/A847</f>
        <v>8.9678510998307953E-2</v>
      </c>
      <c r="C848" s="52">
        <v>2</v>
      </c>
      <c r="D848" s="247">
        <f>'Appendix J-2'!I57</f>
        <v>52</v>
      </c>
      <c r="E848" s="22">
        <f t="shared" ref="E848:E855" si="395">IF(F848=0,0,F848/D848)</f>
        <v>177.86538461538461</v>
      </c>
      <c r="F848" s="247">
        <f>'Appendix J-2'!K57</f>
        <v>9249</v>
      </c>
      <c r="G848" s="24">
        <f t="shared" ref="G848:G855" si="396">H848/F848</f>
        <v>239.69172883554978</v>
      </c>
      <c r="H848" s="250">
        <f>'Appendix J-2'!M57</f>
        <v>2216908.7999999998</v>
      </c>
      <c r="I848" s="688"/>
      <c r="J848" s="205"/>
      <c r="N848" s="453">
        <f t="shared" ref="N848:N861" si="397">A848</f>
        <v>1288</v>
      </c>
      <c r="O848" s="584">
        <f>(N848-N847)/N847</f>
        <v>8.9678510998307953E-2</v>
      </c>
      <c r="P848" s="585">
        <v>2</v>
      </c>
      <c r="Q848" s="452">
        <f t="shared" ref="Q848:Q855" si="398">D848+D1334</f>
        <v>52</v>
      </c>
      <c r="R848" s="451">
        <f t="shared" ref="R848:R855" si="399">IF(S848=0,0,S848/Q848)</f>
        <v>177.86538461538461</v>
      </c>
      <c r="S848" s="452">
        <f t="shared" ref="S848:S855" si="400">F848+F1334</f>
        <v>9249</v>
      </c>
      <c r="T848" s="446"/>
      <c r="U848" s="446"/>
      <c r="V848" s="446"/>
      <c r="W848" s="446"/>
      <c r="X848" s="446"/>
      <c r="AH848" s="17"/>
      <c r="AI848" s="17"/>
    </row>
    <row r="849" spans="1:35" x14ac:dyDescent="0.25">
      <c r="A849" s="21">
        <f>A$7</f>
        <v>1495</v>
      </c>
      <c r="B849" s="149">
        <f t="shared" ref="B849:B861" si="401">(A849-A848)/A848</f>
        <v>0.16071428571428573</v>
      </c>
      <c r="C849" s="52">
        <v>3</v>
      </c>
      <c r="D849" s="247">
        <f>'Appendix J-2'!N57</f>
        <v>53</v>
      </c>
      <c r="E849" s="22">
        <f t="shared" si="395"/>
        <v>231.83018867924528</v>
      </c>
      <c r="F849" s="247">
        <f>'Appendix J-2'!P57</f>
        <v>12287</v>
      </c>
      <c r="G849" s="24">
        <f t="shared" si="396"/>
        <v>240</v>
      </c>
      <c r="H849" s="248">
        <f>'Appendix J-2'!R57</f>
        <v>2948880</v>
      </c>
      <c r="I849" s="688"/>
      <c r="J849" s="205"/>
      <c r="N849" s="453">
        <f t="shared" si="397"/>
        <v>1495</v>
      </c>
      <c r="O849" s="584">
        <f t="shared" ref="O849:O861" si="402">(N849-N848)/N848</f>
        <v>0.16071428571428573</v>
      </c>
      <c r="P849" s="585">
        <v>3</v>
      </c>
      <c r="Q849" s="452">
        <f t="shared" si="398"/>
        <v>53</v>
      </c>
      <c r="R849" s="451">
        <f t="shared" si="399"/>
        <v>231.83018867924528</v>
      </c>
      <c r="S849" s="452">
        <f t="shared" si="400"/>
        <v>12287</v>
      </c>
      <c r="T849" s="446"/>
      <c r="U849" s="446"/>
      <c r="V849" s="446"/>
      <c r="W849" s="446"/>
      <c r="X849" s="446"/>
      <c r="AH849" s="17"/>
      <c r="AI849" s="17"/>
    </row>
    <row r="850" spans="1:35" x14ac:dyDescent="0.25">
      <c r="A850" s="21">
        <f>A$8</f>
        <v>1484</v>
      </c>
      <c r="B850" s="149">
        <f t="shared" si="401"/>
        <v>-7.3578595317725752E-3</v>
      </c>
      <c r="C850" s="52">
        <f t="shared" ref="C850:C861" si="403">C849+1</f>
        <v>4</v>
      </c>
      <c r="D850" s="247">
        <f>'Appendix J-2'!S57</f>
        <v>61</v>
      </c>
      <c r="E850" s="22">
        <f t="shared" si="395"/>
        <v>202.88524590163934</v>
      </c>
      <c r="F850" s="247">
        <f>'Appendix J-2'!U57</f>
        <v>12376</v>
      </c>
      <c r="G850" s="24">
        <f t="shared" si="396"/>
        <v>240</v>
      </c>
      <c r="H850" s="248">
        <f>'Appendix J-2'!W57</f>
        <v>2970240</v>
      </c>
      <c r="I850" s="688"/>
      <c r="J850" s="205"/>
      <c r="N850" s="453">
        <f t="shared" si="397"/>
        <v>1484</v>
      </c>
      <c r="O850" s="584">
        <f t="shared" si="402"/>
        <v>-7.3578595317725752E-3</v>
      </c>
      <c r="P850" s="585">
        <f t="shared" ref="P850:P861" si="404">P849+1</f>
        <v>4</v>
      </c>
      <c r="Q850" s="452">
        <f t="shared" si="398"/>
        <v>61</v>
      </c>
      <c r="R850" s="451">
        <f t="shared" si="399"/>
        <v>202.88524590163934</v>
      </c>
      <c r="S850" s="452">
        <f t="shared" si="400"/>
        <v>12376</v>
      </c>
      <c r="T850" s="446"/>
      <c r="U850" s="446"/>
      <c r="V850" s="446"/>
      <c r="W850" s="446"/>
      <c r="X850" s="446"/>
      <c r="AH850" s="17"/>
      <c r="AI850" s="17"/>
    </row>
    <row r="851" spans="1:35" x14ac:dyDescent="0.25">
      <c r="A851" s="21">
        <f>A$9</f>
        <v>1528</v>
      </c>
      <c r="B851" s="149">
        <f t="shared" si="401"/>
        <v>2.9649595687331536E-2</v>
      </c>
      <c r="C851" s="52">
        <f t="shared" si="403"/>
        <v>5</v>
      </c>
      <c r="D851" s="247">
        <f>'Appendix J-2'!X57</f>
        <v>53</v>
      </c>
      <c r="E851" s="22">
        <f t="shared" si="395"/>
        <v>281.07547169811323</v>
      </c>
      <c r="F851" s="247">
        <f>'Appendix J-2'!Z57</f>
        <v>14897</v>
      </c>
      <c r="G851" s="24">
        <f t="shared" si="396"/>
        <v>240</v>
      </c>
      <c r="H851" s="248">
        <f>'Appendix J-2'!AB57</f>
        <v>3575280</v>
      </c>
      <c r="I851" s="688"/>
      <c r="J851" s="205"/>
      <c r="N851" s="453">
        <f t="shared" si="397"/>
        <v>1528</v>
      </c>
      <c r="O851" s="584">
        <f t="shared" si="402"/>
        <v>2.9649595687331536E-2</v>
      </c>
      <c r="P851" s="585">
        <f t="shared" si="404"/>
        <v>5</v>
      </c>
      <c r="Q851" s="452">
        <f t="shared" si="398"/>
        <v>53</v>
      </c>
      <c r="R851" s="451">
        <f t="shared" si="399"/>
        <v>281.07547169811323</v>
      </c>
      <c r="S851" s="452">
        <f t="shared" si="400"/>
        <v>14897</v>
      </c>
      <c r="T851" s="446"/>
      <c r="U851" s="446"/>
      <c r="V851" s="446"/>
      <c r="W851" s="446"/>
      <c r="X851" s="446"/>
      <c r="AH851" s="17"/>
      <c r="AI851" s="17"/>
    </row>
    <row r="852" spans="1:35" x14ac:dyDescent="0.25">
      <c r="A852" s="21">
        <f>A$10</f>
        <v>1592</v>
      </c>
      <c r="B852" s="149">
        <f t="shared" si="401"/>
        <v>4.1884816753926704E-2</v>
      </c>
      <c r="C852" s="20">
        <f t="shared" si="403"/>
        <v>6</v>
      </c>
      <c r="D852" s="249">
        <f>'Appendix J-2'!AC57</f>
        <v>98</v>
      </c>
      <c r="E852" s="22">
        <f t="shared" si="395"/>
        <v>157</v>
      </c>
      <c r="F852" s="249">
        <f>'Appendix J-2'!AE57</f>
        <v>15386</v>
      </c>
      <c r="G852" s="24">
        <f t="shared" si="396"/>
        <v>251.77304042636163</v>
      </c>
      <c r="H852" s="248">
        <f>'Appendix J-2'!AG57</f>
        <v>3873780</v>
      </c>
      <c r="I852" s="688"/>
      <c r="J852" s="205"/>
      <c r="N852" s="453">
        <f t="shared" si="397"/>
        <v>1592</v>
      </c>
      <c r="O852" s="584">
        <f t="shared" si="402"/>
        <v>4.1884816753926704E-2</v>
      </c>
      <c r="P852" s="586">
        <f t="shared" si="404"/>
        <v>6</v>
      </c>
      <c r="Q852" s="452">
        <f t="shared" si="398"/>
        <v>98</v>
      </c>
      <c r="R852" s="451">
        <f t="shared" si="399"/>
        <v>157</v>
      </c>
      <c r="S852" s="452">
        <f t="shared" si="400"/>
        <v>15386</v>
      </c>
      <c r="T852" s="446"/>
      <c r="U852" s="446"/>
      <c r="V852" s="446"/>
      <c r="W852" s="446"/>
      <c r="X852" s="446"/>
      <c r="AH852" s="17"/>
      <c r="AI852" s="17"/>
    </row>
    <row r="853" spans="1:35" x14ac:dyDescent="0.25">
      <c r="A853" s="21">
        <f>A$11</f>
        <v>1642</v>
      </c>
      <c r="B853" s="149">
        <f t="shared" si="401"/>
        <v>3.1407035175879394E-2</v>
      </c>
      <c r="C853" s="20">
        <f t="shared" si="403"/>
        <v>7</v>
      </c>
      <c r="D853" s="249">
        <f>'Appendix J-2'!AH57</f>
        <v>90</v>
      </c>
      <c r="E853" s="22">
        <f t="shared" si="395"/>
        <v>137.61111111111111</v>
      </c>
      <c r="F853" s="249">
        <f>'Appendix J-2'!AJ57</f>
        <v>12385</v>
      </c>
      <c r="G853" s="24">
        <f t="shared" si="396"/>
        <v>254.29097941057731</v>
      </c>
      <c r="H853" s="248">
        <f>'Appendix J-2'!AL57</f>
        <v>3149393.78</v>
      </c>
      <c r="I853" s="688"/>
      <c r="J853" s="205"/>
      <c r="N853" s="453">
        <f t="shared" si="397"/>
        <v>1642</v>
      </c>
      <c r="O853" s="584">
        <f t="shared" si="402"/>
        <v>3.1407035175879394E-2</v>
      </c>
      <c r="P853" s="586">
        <f t="shared" si="404"/>
        <v>7</v>
      </c>
      <c r="Q853" s="452">
        <f t="shared" si="398"/>
        <v>101</v>
      </c>
      <c r="R853" s="451">
        <f t="shared" si="399"/>
        <v>136.68316831683168</v>
      </c>
      <c r="S853" s="452">
        <f t="shared" si="400"/>
        <v>13805</v>
      </c>
      <c r="T853" s="682" t="s">
        <v>610</v>
      </c>
      <c r="U853" s="683"/>
      <c r="V853" s="683"/>
      <c r="W853" s="683"/>
      <c r="X853" s="683"/>
      <c r="AH853" s="17"/>
      <c r="AI853" s="17"/>
    </row>
    <row r="854" spans="1:35" x14ac:dyDescent="0.25">
      <c r="A854" s="21">
        <f>A$12</f>
        <v>1675</v>
      </c>
      <c r="B854" s="149">
        <f t="shared" si="401"/>
        <v>2.0097442143727162E-2</v>
      </c>
      <c r="C854" s="20">
        <f t="shared" si="403"/>
        <v>8</v>
      </c>
      <c r="D854" s="249">
        <f>'Appendix J-2'!AM57</f>
        <v>33</v>
      </c>
      <c r="E854" s="22">
        <f t="shared" si="395"/>
        <v>287.5151515151515</v>
      </c>
      <c r="F854" s="249">
        <f>'Appendix J-2'!AO57</f>
        <v>9488</v>
      </c>
      <c r="G854" s="24">
        <f t="shared" si="396"/>
        <v>273.55971543001687</v>
      </c>
      <c r="H854" s="248">
        <f>'Appendix J-2'!AQ57</f>
        <v>2595534.58</v>
      </c>
      <c r="I854" s="688"/>
      <c r="J854" s="205"/>
      <c r="N854" s="453">
        <f t="shared" si="397"/>
        <v>1675</v>
      </c>
      <c r="O854" s="584">
        <f t="shared" si="402"/>
        <v>2.0097442143727162E-2</v>
      </c>
      <c r="P854" s="586">
        <f t="shared" si="404"/>
        <v>8</v>
      </c>
      <c r="Q854" s="452">
        <f t="shared" si="398"/>
        <v>44</v>
      </c>
      <c r="R854" s="451">
        <f t="shared" si="399"/>
        <v>292.75</v>
      </c>
      <c r="S854" s="452">
        <f t="shared" si="400"/>
        <v>12881</v>
      </c>
      <c r="T854" s="587"/>
      <c r="U854" s="685" t="s">
        <v>154</v>
      </c>
      <c r="V854" s="685"/>
      <c r="W854" s="685" t="s">
        <v>609</v>
      </c>
      <c r="X854" s="685"/>
      <c r="AH854" s="17"/>
      <c r="AI854" s="17"/>
    </row>
    <row r="855" spans="1:35" x14ac:dyDescent="0.25">
      <c r="A855" s="21">
        <f>A$13</f>
        <v>1739</v>
      </c>
      <c r="B855" s="149">
        <f t="shared" si="401"/>
        <v>3.8208955223880597E-2</v>
      </c>
      <c r="C855" s="20">
        <f t="shared" si="403"/>
        <v>9</v>
      </c>
      <c r="D855" s="249">
        <f>'Appendix J-2'!AR57</f>
        <v>35</v>
      </c>
      <c r="E855" s="22">
        <f t="shared" si="395"/>
        <v>221.02857142857144</v>
      </c>
      <c r="F855" s="249">
        <f>'Appendix J-2'!AT57</f>
        <v>7736</v>
      </c>
      <c r="G855" s="24">
        <f t="shared" si="396"/>
        <v>264.31654214064116</v>
      </c>
      <c r="H855" s="248">
        <f>'Appendix J-2'!AV57</f>
        <v>2044752.77</v>
      </c>
      <c r="I855" s="688"/>
      <c r="J855" s="205"/>
      <c r="N855" s="453">
        <f t="shared" si="397"/>
        <v>1739</v>
      </c>
      <c r="O855" s="584">
        <f t="shared" si="402"/>
        <v>3.8208955223880597E-2</v>
      </c>
      <c r="P855" s="586">
        <f t="shared" si="404"/>
        <v>9</v>
      </c>
      <c r="Q855" s="452">
        <f t="shared" si="398"/>
        <v>48</v>
      </c>
      <c r="R855" s="451">
        <f t="shared" si="399"/>
        <v>236.70833333333334</v>
      </c>
      <c r="S855" s="452">
        <f t="shared" si="400"/>
        <v>11362</v>
      </c>
      <c r="T855" s="587"/>
      <c r="U855" s="458" t="s">
        <v>608</v>
      </c>
      <c r="V855" s="458" t="s">
        <v>578</v>
      </c>
      <c r="W855" s="458" t="s">
        <v>608</v>
      </c>
      <c r="X855" s="458" t="s">
        <v>578</v>
      </c>
      <c r="AH855" s="17"/>
      <c r="AI855" s="17"/>
    </row>
    <row r="856" spans="1:35" x14ac:dyDescent="0.25">
      <c r="A856" s="21">
        <f>A$14</f>
        <v>1752</v>
      </c>
      <c r="B856" s="149">
        <f t="shared" si="401"/>
        <v>7.4755606670500289E-3</v>
      </c>
      <c r="C856" s="20">
        <f t="shared" si="403"/>
        <v>10</v>
      </c>
      <c r="D856" s="21">
        <f>AN828</f>
        <v>25</v>
      </c>
      <c r="E856" s="22">
        <f>IF(TREND($E$847:$E$855,$C$847:$C$855,C856)&lt;365,TREND($E$847:$E$855,$C$847:$C$855,C856),365)</f>
        <v>227.04069599788619</v>
      </c>
      <c r="F856" s="21">
        <f>D856*E856</f>
        <v>5676.0173999471544</v>
      </c>
      <c r="G856" s="24">
        <f>'DDS Rates for Amend'!AY17</f>
        <v>243.13</v>
      </c>
      <c r="H856" s="33">
        <f>F856*G856</f>
        <v>1380010.1104491516</v>
      </c>
      <c r="I856" s="688"/>
      <c r="J856" s="205"/>
      <c r="N856" s="453">
        <f t="shared" si="397"/>
        <v>1752</v>
      </c>
      <c r="O856" s="584">
        <f t="shared" si="402"/>
        <v>7.4755606670500289E-3</v>
      </c>
      <c r="P856" s="586">
        <f t="shared" si="404"/>
        <v>10</v>
      </c>
      <c r="Q856" s="453">
        <f>ROUND((TREND($Q$854:$Q$855,$N$854:$N$855,N856)),0)</f>
        <v>49</v>
      </c>
      <c r="R856" s="451">
        <f>IF(TREND($R$847:$R$855,$N$847:$N$855,N856)&lt;365,TREND($R$847:$R$855,$N$847:$N$855,N856),365)</f>
        <v>229.80867066877323</v>
      </c>
      <c r="S856" s="453">
        <f>Q856*R856</f>
        <v>11260.624862769888</v>
      </c>
      <c r="T856" s="587">
        <v>10</v>
      </c>
      <c r="U856" s="459">
        <f>Q856*$AB$828</f>
        <v>35.729166666666664</v>
      </c>
      <c r="V856" s="459">
        <f>Q856*$AC$828</f>
        <v>13.270833333333332</v>
      </c>
      <c r="W856" s="459">
        <f>R856*$AF$828</f>
        <v>156.46892063841136</v>
      </c>
      <c r="X856" s="459">
        <f>R856*$AG$828</f>
        <v>73.339750030361884</v>
      </c>
      <c r="AH856" s="17"/>
      <c r="AI856" s="17"/>
    </row>
    <row r="857" spans="1:35" x14ac:dyDescent="0.25">
      <c r="A857" s="21">
        <f>A$15</f>
        <v>1822</v>
      </c>
      <c r="B857" s="149">
        <f t="shared" si="401"/>
        <v>3.9954337899543377E-2</v>
      </c>
      <c r="C857" s="20">
        <f t="shared" si="403"/>
        <v>11</v>
      </c>
      <c r="D857" s="21">
        <f>AQ828</f>
        <v>26</v>
      </c>
      <c r="E857" s="22">
        <f t="shared" ref="E857:E861" si="405">IF(TREND($E$847:$E$855,$C$847:$C$855,C857)&lt;365,TREND($E$847:$E$855,$C$847:$C$855,C857),365)</f>
        <v>230.43636575414749</v>
      </c>
      <c r="F857" s="21">
        <f t="shared" ref="F857:F861" si="406">D857*E857</f>
        <v>5991.3455096078351</v>
      </c>
      <c r="G857" s="24">
        <f>'DDS Rates for Amend'!AY18</f>
        <v>249.45138</v>
      </c>
      <c r="H857" s="33">
        <f t="shared" ref="H857:H861" si="407">F857*G857</f>
        <v>1494549.4054284778</v>
      </c>
      <c r="I857" s="688"/>
      <c r="J857" s="205"/>
      <c r="N857" s="453">
        <f t="shared" si="397"/>
        <v>1822</v>
      </c>
      <c r="O857" s="584">
        <f t="shared" si="402"/>
        <v>3.9954337899543377E-2</v>
      </c>
      <c r="P857" s="586">
        <f t="shared" si="404"/>
        <v>11</v>
      </c>
      <c r="Q857" s="453">
        <f t="shared" ref="Q857:Q861" si="408">ROUND((TREND($Q$854:$Q$855,$N$854:$N$855,N857)),0)</f>
        <v>53</v>
      </c>
      <c r="R857" s="451">
        <f t="shared" ref="R857:R861" si="409">IF(TREND($R$847:$R$855,$N$847:$N$855,N857)&lt;365,TREND($R$847:$R$855,$N$847:$N$855,N857),365)</f>
        <v>234.96084847708346</v>
      </c>
      <c r="S857" s="453">
        <f t="shared" ref="S857:S861" si="410">Q857*R857</f>
        <v>12452.924969285423</v>
      </c>
      <c r="T857" s="587">
        <v>11</v>
      </c>
      <c r="U857" s="459">
        <f t="shared" ref="U857:U861" si="411">Q857*$AB$828</f>
        <v>38.645833333333329</v>
      </c>
      <c r="V857" s="459">
        <f t="shared" ref="V857:V861" si="412">Q857*$AC$828</f>
        <v>14.354166666666666</v>
      </c>
      <c r="W857" s="459">
        <f t="shared" ref="W857:W861" si="413">R857*$AF$828</f>
        <v>159.97686356440042</v>
      </c>
      <c r="X857" s="459">
        <f t="shared" ref="X857:X861" si="414">R857*$AG$828</f>
        <v>74.983984912683027</v>
      </c>
      <c r="AH857" s="17"/>
      <c r="AI857" s="17"/>
    </row>
    <row r="858" spans="1:35" x14ac:dyDescent="0.25">
      <c r="A858" s="21">
        <f>A$16</f>
        <v>1872</v>
      </c>
      <c r="B858" s="149">
        <f t="shared" si="401"/>
        <v>2.7442371020856202E-2</v>
      </c>
      <c r="C858" s="20">
        <f t="shared" si="403"/>
        <v>12</v>
      </c>
      <c r="D858" s="21">
        <f>AT828</f>
        <v>26</v>
      </c>
      <c r="E858" s="22">
        <f t="shared" si="405"/>
        <v>233.83203551040879</v>
      </c>
      <c r="F858" s="21">
        <f t="shared" si="406"/>
        <v>6079.6329232706285</v>
      </c>
      <c r="G858" s="24">
        <f>'DDS Rates for Amend'!AY19</f>
        <v>255.93711587999999</v>
      </c>
      <c r="H858" s="33">
        <f t="shared" si="407"/>
        <v>1556003.7159909778</v>
      </c>
      <c r="I858" s="688"/>
      <c r="J858" s="205"/>
      <c r="N858" s="453">
        <f t="shared" si="397"/>
        <v>1872</v>
      </c>
      <c r="O858" s="584">
        <f t="shared" si="402"/>
        <v>2.7442371020856202E-2</v>
      </c>
      <c r="P858" s="586">
        <f t="shared" si="404"/>
        <v>12</v>
      </c>
      <c r="Q858" s="453">
        <f t="shared" si="408"/>
        <v>56</v>
      </c>
      <c r="R858" s="451">
        <f t="shared" si="409"/>
        <v>238.6409754830193</v>
      </c>
      <c r="S858" s="453">
        <f t="shared" si="410"/>
        <v>13363.894627049081</v>
      </c>
      <c r="T858" s="587">
        <v>12</v>
      </c>
      <c r="U858" s="459">
        <f t="shared" si="411"/>
        <v>40.833333333333329</v>
      </c>
      <c r="V858" s="459">
        <f t="shared" si="412"/>
        <v>15.166666666666666</v>
      </c>
      <c r="W858" s="459">
        <f t="shared" si="413"/>
        <v>162.48253708296403</v>
      </c>
      <c r="X858" s="459">
        <f t="shared" si="414"/>
        <v>76.15843840005526</v>
      </c>
      <c r="AH858" s="17"/>
      <c r="AI858" s="17"/>
    </row>
    <row r="859" spans="1:35" x14ac:dyDescent="0.25">
      <c r="A859" s="21">
        <f>A$17</f>
        <v>1902</v>
      </c>
      <c r="B859" s="149">
        <f t="shared" si="401"/>
        <v>1.6025641025641024E-2</v>
      </c>
      <c r="C859" s="20">
        <f t="shared" si="403"/>
        <v>13</v>
      </c>
      <c r="D859" s="21">
        <f>AW828</f>
        <v>26</v>
      </c>
      <c r="E859" s="22">
        <f t="shared" si="405"/>
        <v>237.22770526667011</v>
      </c>
      <c r="F859" s="21">
        <f t="shared" si="406"/>
        <v>6167.9203369334227</v>
      </c>
      <c r="G859" s="24">
        <f>'DDS Rates for Amend'!AY20</f>
        <v>262.59148089287999</v>
      </c>
      <c r="H859" s="33">
        <f t="shared" si="407"/>
        <v>1619643.3353046589</v>
      </c>
      <c r="I859" s="688"/>
      <c r="J859" s="205"/>
      <c r="N859" s="453">
        <f t="shared" si="397"/>
        <v>1902</v>
      </c>
      <c r="O859" s="584">
        <f t="shared" si="402"/>
        <v>1.6025641025641024E-2</v>
      </c>
      <c r="P859" s="586">
        <f t="shared" si="404"/>
        <v>13</v>
      </c>
      <c r="Q859" s="453">
        <f t="shared" si="408"/>
        <v>58</v>
      </c>
      <c r="R859" s="451">
        <f t="shared" si="409"/>
        <v>240.84905168658082</v>
      </c>
      <c r="S859" s="453">
        <f t="shared" si="410"/>
        <v>13969.244997821688</v>
      </c>
      <c r="T859" s="587">
        <v>13</v>
      </c>
      <c r="U859" s="459">
        <f t="shared" si="411"/>
        <v>42.291666666666664</v>
      </c>
      <c r="V859" s="459">
        <f t="shared" si="412"/>
        <v>15.708333333333332</v>
      </c>
      <c r="W859" s="459">
        <f t="shared" si="413"/>
        <v>163.9859411941022</v>
      </c>
      <c r="X859" s="459">
        <f t="shared" si="414"/>
        <v>76.863110492478611</v>
      </c>
      <c r="AH859" s="17"/>
      <c r="AI859" s="17"/>
    </row>
    <row r="860" spans="1:35" x14ac:dyDescent="0.25">
      <c r="A860" s="21">
        <f>A$18</f>
        <v>1932</v>
      </c>
      <c r="B860" s="149">
        <f t="shared" si="401"/>
        <v>1.5772870662460567E-2</v>
      </c>
      <c r="C860" s="20">
        <f t="shared" si="403"/>
        <v>14</v>
      </c>
      <c r="D860" s="21">
        <f>AZ828</f>
        <v>27</v>
      </c>
      <c r="E860" s="22">
        <f t="shared" si="405"/>
        <v>240.62337502293141</v>
      </c>
      <c r="F860" s="21">
        <f t="shared" si="406"/>
        <v>6496.8311256191482</v>
      </c>
      <c r="G860" s="24">
        <f>'DDS Rates for Amend'!AY21</f>
        <v>269.41885939609489</v>
      </c>
      <c r="H860" s="33">
        <f t="shared" si="407"/>
        <v>1750368.8315533581</v>
      </c>
      <c r="I860" s="688"/>
      <c r="J860" s="205"/>
      <c r="N860" s="453">
        <f t="shared" si="397"/>
        <v>1932</v>
      </c>
      <c r="O860" s="584">
        <f t="shared" si="402"/>
        <v>1.5772870662460567E-2</v>
      </c>
      <c r="P860" s="586">
        <f t="shared" si="404"/>
        <v>14</v>
      </c>
      <c r="Q860" s="453">
        <f t="shared" si="408"/>
        <v>60</v>
      </c>
      <c r="R860" s="451">
        <f t="shared" si="409"/>
        <v>243.0571278901424</v>
      </c>
      <c r="S860" s="453">
        <f t="shared" si="410"/>
        <v>14583.427673408543</v>
      </c>
      <c r="T860" s="587">
        <v>14</v>
      </c>
      <c r="U860" s="459">
        <f t="shared" si="411"/>
        <v>43.75</v>
      </c>
      <c r="V860" s="459">
        <f t="shared" si="412"/>
        <v>16.25</v>
      </c>
      <c r="W860" s="459">
        <f t="shared" si="413"/>
        <v>165.48934530524042</v>
      </c>
      <c r="X860" s="459">
        <f t="shared" si="414"/>
        <v>77.567782584901977</v>
      </c>
      <c r="AH860" s="17"/>
      <c r="AI860" s="17"/>
    </row>
    <row r="861" spans="1:35" x14ac:dyDescent="0.25">
      <c r="A861" s="21">
        <f>A$19</f>
        <v>1962</v>
      </c>
      <c r="B861" s="149">
        <f t="shared" si="401"/>
        <v>1.5527950310559006E-2</v>
      </c>
      <c r="C861" s="20">
        <f t="shared" si="403"/>
        <v>15</v>
      </c>
      <c r="D861" s="21">
        <f>BC828</f>
        <v>28</v>
      </c>
      <c r="E861" s="22">
        <f t="shared" si="405"/>
        <v>244.01904477919271</v>
      </c>
      <c r="F861" s="21">
        <f t="shared" si="406"/>
        <v>6832.5332538173961</v>
      </c>
      <c r="G861" s="24">
        <f>'DDS Rates for Amend'!AY22</f>
        <v>276.42374974039336</v>
      </c>
      <c r="H861" s="33">
        <f t="shared" si="407"/>
        <v>1888674.4622461356</v>
      </c>
      <c r="I861" s="689"/>
      <c r="J861" s="205"/>
      <c r="K861" s="285">
        <f>SUM(H847:H861)</f>
        <v>34550356.590972759</v>
      </c>
      <c r="L861" s="17">
        <f>IF(K861='Appendix J-2'!CD57,0,error)</f>
        <v>0</v>
      </c>
      <c r="N861" s="453">
        <f t="shared" si="397"/>
        <v>1962</v>
      </c>
      <c r="O861" s="584">
        <f t="shared" si="402"/>
        <v>1.5527950310559006E-2</v>
      </c>
      <c r="P861" s="586">
        <f t="shared" si="404"/>
        <v>15</v>
      </c>
      <c r="Q861" s="453">
        <f t="shared" si="408"/>
        <v>62</v>
      </c>
      <c r="R861" s="451">
        <f t="shared" si="409"/>
        <v>245.26520409370391</v>
      </c>
      <c r="S861" s="453">
        <f t="shared" si="410"/>
        <v>15206.442653809643</v>
      </c>
      <c r="T861" s="587">
        <v>15</v>
      </c>
      <c r="U861" s="459">
        <f t="shared" si="411"/>
        <v>45.208333333333329</v>
      </c>
      <c r="V861" s="459">
        <f t="shared" si="412"/>
        <v>16.791666666666664</v>
      </c>
      <c r="W861" s="459">
        <f t="shared" si="413"/>
        <v>166.99274941637859</v>
      </c>
      <c r="X861" s="459">
        <f t="shared" si="414"/>
        <v>78.272454677325328</v>
      </c>
      <c r="AH861" s="17"/>
      <c r="AI861" s="17"/>
    </row>
    <row r="862" spans="1:35" x14ac:dyDescent="0.25">
      <c r="C862"/>
      <c r="I862" s="568"/>
      <c r="J862"/>
      <c r="N862" s="446"/>
      <c r="O862" s="446"/>
      <c r="P862" s="446"/>
      <c r="Q862" s="466"/>
      <c r="R862" s="454"/>
      <c r="S862" s="446"/>
      <c r="T862" s="446"/>
      <c r="U862" s="446"/>
      <c r="V862" s="446"/>
      <c r="W862" s="446"/>
      <c r="X862" s="446"/>
      <c r="AH862" s="17"/>
      <c r="AI862" s="17"/>
    </row>
    <row r="863" spans="1:35" x14ac:dyDescent="0.25">
      <c r="A863" s="271" t="s">
        <v>110</v>
      </c>
      <c r="B863" s="272"/>
      <c r="C863" s="272"/>
      <c r="D863" s="292" t="str">
        <f>'Appendix J-2'!B58</f>
        <v>Assistance</v>
      </c>
      <c r="E863" s="223" t="str">
        <f>'Appendix J-2'!C57</f>
        <v>1 day</v>
      </c>
      <c r="F863" s="690"/>
      <c r="G863" s="690"/>
      <c r="H863" s="690"/>
      <c r="I863" s="687" t="s">
        <v>1110</v>
      </c>
      <c r="J863" s="205"/>
      <c r="N863" s="577" t="s">
        <v>565</v>
      </c>
      <c r="O863" s="578"/>
      <c r="P863" s="578"/>
      <c r="Q863" s="579"/>
      <c r="R863" s="447"/>
      <c r="S863" s="448"/>
      <c r="T863" s="446"/>
      <c r="U863" s="446"/>
      <c r="V863" s="446"/>
      <c r="W863" s="446"/>
      <c r="X863" s="446"/>
      <c r="AH863" s="17"/>
      <c r="AI863" s="17"/>
    </row>
    <row r="864" spans="1:35" ht="30" x14ac:dyDescent="0.25">
      <c r="A864" s="147" t="s">
        <v>26</v>
      </c>
      <c r="B864" s="147" t="s">
        <v>27</v>
      </c>
      <c r="C864" s="50" t="s">
        <v>166</v>
      </c>
      <c r="D864" s="91" t="s">
        <v>154</v>
      </c>
      <c r="E864" s="89" t="s">
        <v>155</v>
      </c>
      <c r="F864" s="34" t="s">
        <v>158</v>
      </c>
      <c r="G864" s="35" t="s">
        <v>156</v>
      </c>
      <c r="H864" s="51" t="s">
        <v>157</v>
      </c>
      <c r="I864" s="688"/>
      <c r="J864" s="205"/>
      <c r="N864" s="580" t="s">
        <v>26</v>
      </c>
      <c r="O864" s="580" t="s">
        <v>27</v>
      </c>
      <c r="P864" s="471" t="s">
        <v>166</v>
      </c>
      <c r="Q864" s="581" t="s">
        <v>154</v>
      </c>
      <c r="R864" s="449" t="s">
        <v>155</v>
      </c>
      <c r="S864" s="450" t="s">
        <v>158</v>
      </c>
      <c r="T864" s="446"/>
      <c r="U864" s="446"/>
      <c r="V864" s="446"/>
      <c r="W864" s="446"/>
      <c r="X864" s="446"/>
      <c r="AH864" s="17"/>
      <c r="AI864" s="17"/>
    </row>
    <row r="865" spans="1:35" ht="15" customHeight="1" x14ac:dyDescent="0.25">
      <c r="A865" s="21">
        <f>A$5</f>
        <v>1182</v>
      </c>
      <c r="B865" s="148"/>
      <c r="C865" s="144">
        <v>1</v>
      </c>
      <c r="D865" s="247">
        <f>'Appendix J-2'!D58</f>
        <v>8</v>
      </c>
      <c r="E865" s="22">
        <f>IF(F865=0,0,F865/D865)</f>
        <v>26.375</v>
      </c>
      <c r="F865" s="247">
        <f>'Appendix J-2'!F58</f>
        <v>211</v>
      </c>
      <c r="G865" s="24">
        <f>H865/F865</f>
        <v>283.5924170616114</v>
      </c>
      <c r="H865" s="250">
        <f>'Appendix J-2'!H58</f>
        <v>59838</v>
      </c>
      <c r="I865" s="688"/>
      <c r="J865" s="205"/>
      <c r="N865" s="453">
        <f>A865</f>
        <v>1182</v>
      </c>
      <c r="O865" s="582"/>
      <c r="P865" s="583">
        <v>1</v>
      </c>
      <c r="Q865" s="452">
        <f>D865+D1351</f>
        <v>8</v>
      </c>
      <c r="R865" s="451">
        <f>IF(S865=0,0,S865/Q865)</f>
        <v>26.375</v>
      </c>
      <c r="S865" s="452">
        <f>F865+F1351</f>
        <v>211</v>
      </c>
      <c r="T865" s="446"/>
      <c r="U865" s="446"/>
      <c r="V865" s="446"/>
      <c r="W865" s="446"/>
      <c r="X865" s="446"/>
      <c r="AH865" s="17"/>
      <c r="AI865" s="17"/>
    </row>
    <row r="866" spans="1:35" x14ac:dyDescent="0.25">
      <c r="A866" s="21">
        <f>A$6</f>
        <v>1288</v>
      </c>
      <c r="B866" s="149">
        <f>(A866-A865)/A865</f>
        <v>8.9678510998307953E-2</v>
      </c>
      <c r="C866" s="52">
        <v>2</v>
      </c>
      <c r="D866" s="247">
        <f>'Appendix J-2'!I58</f>
        <v>3</v>
      </c>
      <c r="E866" s="22">
        <f t="shared" ref="E866:E873" si="415">IF(F866=0,0,F866/D866)</f>
        <v>155.33333333333334</v>
      </c>
      <c r="F866" s="247">
        <f>'Appendix J-2'!K58</f>
        <v>466</v>
      </c>
      <c r="G866" s="24">
        <f t="shared" ref="G866:G873" si="416">H866/F866</f>
        <v>286</v>
      </c>
      <c r="H866" s="250">
        <f>'Appendix J-2'!M58</f>
        <v>133276</v>
      </c>
      <c r="I866" s="688"/>
      <c r="J866" s="205"/>
      <c r="N866" s="453">
        <f t="shared" ref="N866:N879" si="417">A866</f>
        <v>1288</v>
      </c>
      <c r="O866" s="584">
        <f>(N866-N865)/N865</f>
        <v>8.9678510998307953E-2</v>
      </c>
      <c r="P866" s="585">
        <v>2</v>
      </c>
      <c r="Q866" s="452">
        <f t="shared" ref="Q866:Q873" si="418">D866+D1352</f>
        <v>3</v>
      </c>
      <c r="R866" s="451">
        <f t="shared" ref="R866:R873" si="419">IF(S866=0,0,S866/Q866)</f>
        <v>155.33333333333334</v>
      </c>
      <c r="S866" s="452">
        <f t="shared" ref="S866:S873" si="420">F866+F1352</f>
        <v>466</v>
      </c>
      <c r="T866" s="446"/>
      <c r="U866" s="446"/>
      <c r="V866" s="446"/>
      <c r="W866" s="446"/>
      <c r="X866" s="446"/>
      <c r="AH866" s="17"/>
      <c r="AI866" s="17"/>
    </row>
    <row r="867" spans="1:35" x14ac:dyDescent="0.25">
      <c r="A867" s="21">
        <f>A$7</f>
        <v>1495</v>
      </c>
      <c r="B867" s="149">
        <f t="shared" ref="B867:B879" si="421">(A867-A866)/A866</f>
        <v>0.16071428571428573</v>
      </c>
      <c r="C867" s="52">
        <v>3</v>
      </c>
      <c r="D867" s="247">
        <f>'Appendix J-2'!N58</f>
        <v>3</v>
      </c>
      <c r="E867" s="22">
        <f t="shared" si="415"/>
        <v>219</v>
      </c>
      <c r="F867" s="247">
        <f>'Appendix J-2'!P58</f>
        <v>657</v>
      </c>
      <c r="G867" s="24">
        <f t="shared" si="416"/>
        <v>286</v>
      </c>
      <c r="H867" s="248">
        <f>'Appendix J-2'!R58</f>
        <v>187902</v>
      </c>
      <c r="I867" s="688"/>
      <c r="J867" s="205"/>
      <c r="N867" s="453">
        <f t="shared" si="417"/>
        <v>1495</v>
      </c>
      <c r="O867" s="584">
        <f t="shared" ref="O867:O879" si="422">(N867-N866)/N866</f>
        <v>0.16071428571428573</v>
      </c>
      <c r="P867" s="585">
        <v>3</v>
      </c>
      <c r="Q867" s="452">
        <f t="shared" si="418"/>
        <v>3</v>
      </c>
      <c r="R867" s="451">
        <f t="shared" si="419"/>
        <v>219</v>
      </c>
      <c r="S867" s="452">
        <f t="shared" si="420"/>
        <v>657</v>
      </c>
      <c r="T867" s="446"/>
      <c r="U867" s="446"/>
      <c r="V867" s="446"/>
      <c r="W867" s="446"/>
      <c r="X867" s="446"/>
      <c r="AH867" s="17"/>
      <c r="AI867" s="17"/>
    </row>
    <row r="868" spans="1:35" x14ac:dyDescent="0.25">
      <c r="A868" s="21">
        <f>A$8</f>
        <v>1484</v>
      </c>
      <c r="B868" s="149">
        <f t="shared" si="421"/>
        <v>-7.3578595317725752E-3</v>
      </c>
      <c r="C868" s="52">
        <f t="shared" ref="C868:C879" si="423">C867+1</f>
        <v>4</v>
      </c>
      <c r="D868" s="247">
        <f>'Appendix J-2'!S58</f>
        <v>3</v>
      </c>
      <c r="E868" s="22">
        <f t="shared" si="415"/>
        <v>12.333333333333334</v>
      </c>
      <c r="F868" s="247">
        <f>'Appendix J-2'!U58</f>
        <v>37</v>
      </c>
      <c r="G868" s="24">
        <f t="shared" si="416"/>
        <v>286</v>
      </c>
      <c r="H868" s="248">
        <f>'Appendix J-2'!W58</f>
        <v>10582</v>
      </c>
      <c r="I868" s="688"/>
      <c r="J868" s="205"/>
      <c r="N868" s="453">
        <f t="shared" si="417"/>
        <v>1484</v>
      </c>
      <c r="O868" s="584">
        <f t="shared" si="422"/>
        <v>-7.3578595317725752E-3</v>
      </c>
      <c r="P868" s="585">
        <f t="shared" ref="P868:P879" si="424">P867+1</f>
        <v>4</v>
      </c>
      <c r="Q868" s="452">
        <f t="shared" si="418"/>
        <v>3</v>
      </c>
      <c r="R868" s="451">
        <f t="shared" si="419"/>
        <v>12.333333333333334</v>
      </c>
      <c r="S868" s="452">
        <f t="shared" si="420"/>
        <v>37</v>
      </c>
      <c r="T868" s="446"/>
      <c r="U868" s="446"/>
      <c r="V868" s="446"/>
      <c r="W868" s="446"/>
      <c r="X868" s="446"/>
      <c r="AH868" s="17"/>
      <c r="AI868" s="17"/>
    </row>
    <row r="869" spans="1:35" x14ac:dyDescent="0.25">
      <c r="A869" s="21">
        <f>A$9</f>
        <v>1528</v>
      </c>
      <c r="B869" s="149">
        <f t="shared" si="421"/>
        <v>2.9649595687331536E-2</v>
      </c>
      <c r="C869" s="52">
        <f t="shared" si="423"/>
        <v>5</v>
      </c>
      <c r="D869" s="247">
        <f>'Appendix J-2'!X58</f>
        <v>3</v>
      </c>
      <c r="E869" s="22">
        <f t="shared" si="415"/>
        <v>196.33333333333334</v>
      </c>
      <c r="F869" s="247">
        <f>'Appendix J-2'!Z58</f>
        <v>589</v>
      </c>
      <c r="G869" s="24">
        <f t="shared" si="416"/>
        <v>286</v>
      </c>
      <c r="H869" s="248">
        <f>'Appendix J-2'!AB58</f>
        <v>168454</v>
      </c>
      <c r="I869" s="688"/>
      <c r="J869" s="205"/>
      <c r="N869" s="453">
        <f t="shared" si="417"/>
        <v>1528</v>
      </c>
      <c r="O869" s="584">
        <f t="shared" si="422"/>
        <v>2.9649595687331536E-2</v>
      </c>
      <c r="P869" s="585">
        <f t="shared" si="424"/>
        <v>5</v>
      </c>
      <c r="Q869" s="452">
        <f t="shared" si="418"/>
        <v>3</v>
      </c>
      <c r="R869" s="451">
        <f t="shared" si="419"/>
        <v>196.33333333333334</v>
      </c>
      <c r="S869" s="452">
        <f t="shared" si="420"/>
        <v>589</v>
      </c>
      <c r="T869" s="446"/>
      <c r="U869" s="446"/>
      <c r="V869" s="446"/>
      <c r="W869" s="446"/>
      <c r="X869" s="446"/>
      <c r="AH869" s="17"/>
      <c r="AI869" s="17"/>
    </row>
    <row r="870" spans="1:35" x14ac:dyDescent="0.25">
      <c r="A870" s="21">
        <f>A$10</f>
        <v>1592</v>
      </c>
      <c r="B870" s="149">
        <f t="shared" si="421"/>
        <v>4.1884816753926704E-2</v>
      </c>
      <c r="C870" s="52">
        <f t="shared" si="423"/>
        <v>6</v>
      </c>
      <c r="D870" s="249">
        <f>'Appendix J-2'!AC58</f>
        <v>5</v>
      </c>
      <c r="E870" s="22">
        <f t="shared" si="415"/>
        <v>128.6</v>
      </c>
      <c r="F870" s="249">
        <f>'Appendix J-2'!AE58</f>
        <v>643</v>
      </c>
      <c r="G870" s="24">
        <f t="shared" si="416"/>
        <v>286</v>
      </c>
      <c r="H870" s="248">
        <f>'Appendix J-2'!AG58</f>
        <v>183898</v>
      </c>
      <c r="I870" s="688"/>
      <c r="J870" s="205"/>
      <c r="N870" s="453">
        <f t="shared" si="417"/>
        <v>1592</v>
      </c>
      <c r="O870" s="584">
        <f t="shared" si="422"/>
        <v>4.1884816753926704E-2</v>
      </c>
      <c r="P870" s="585">
        <f t="shared" si="424"/>
        <v>6</v>
      </c>
      <c r="Q870" s="452">
        <f t="shared" si="418"/>
        <v>5</v>
      </c>
      <c r="R870" s="451">
        <f t="shared" si="419"/>
        <v>128.6</v>
      </c>
      <c r="S870" s="452">
        <f t="shared" si="420"/>
        <v>643</v>
      </c>
      <c r="T870" s="446"/>
      <c r="U870" s="446"/>
      <c r="V870" s="446"/>
      <c r="W870" s="446"/>
      <c r="X870" s="446"/>
      <c r="AH870" s="17"/>
      <c r="AI870" s="17"/>
    </row>
    <row r="871" spans="1:35" x14ac:dyDescent="0.25">
      <c r="A871" s="21">
        <f>A$11</f>
        <v>1642</v>
      </c>
      <c r="B871" s="149">
        <f t="shared" si="421"/>
        <v>3.1407035175879394E-2</v>
      </c>
      <c r="C871" s="20">
        <f t="shared" si="423"/>
        <v>7</v>
      </c>
      <c r="D871" s="249">
        <f>'Appendix J-2'!AH58</f>
        <v>0</v>
      </c>
      <c r="E871" s="22">
        <f t="shared" si="415"/>
        <v>0</v>
      </c>
      <c r="F871" s="249">
        <f>'Appendix J-2'!AJ58</f>
        <v>0</v>
      </c>
      <c r="G871" s="24" t="e">
        <f t="shared" si="416"/>
        <v>#DIV/0!</v>
      </c>
      <c r="H871" s="248">
        <f>'Appendix J-2'!AL58</f>
        <v>0</v>
      </c>
      <c r="I871" s="688"/>
      <c r="J871" s="205"/>
      <c r="N871" s="453">
        <f t="shared" si="417"/>
        <v>1642</v>
      </c>
      <c r="O871" s="584">
        <f t="shared" si="422"/>
        <v>3.1407035175879394E-2</v>
      </c>
      <c r="P871" s="586">
        <f t="shared" si="424"/>
        <v>7</v>
      </c>
      <c r="Q871" s="452">
        <f t="shared" si="418"/>
        <v>0</v>
      </c>
      <c r="R871" s="451">
        <f t="shared" si="419"/>
        <v>0</v>
      </c>
      <c r="S871" s="452">
        <f t="shared" si="420"/>
        <v>0</v>
      </c>
      <c r="T871" s="682" t="s">
        <v>610</v>
      </c>
      <c r="U871" s="683"/>
      <c r="V871" s="683"/>
      <c r="W871" s="683"/>
      <c r="X871" s="683"/>
      <c r="AH871" s="17"/>
      <c r="AI871" s="17"/>
    </row>
    <row r="872" spans="1:35" x14ac:dyDescent="0.25">
      <c r="A872" s="21">
        <f>A$12</f>
        <v>1675</v>
      </c>
      <c r="B872" s="149">
        <f t="shared" si="421"/>
        <v>2.0097442143727162E-2</v>
      </c>
      <c r="C872" s="20">
        <f t="shared" si="423"/>
        <v>8</v>
      </c>
      <c r="D872" s="249">
        <f>'Appendix J-2'!AM58</f>
        <v>0</v>
      </c>
      <c r="E872" s="22">
        <f t="shared" si="415"/>
        <v>0</v>
      </c>
      <c r="F872" s="249">
        <f>'Appendix J-2'!AO58</f>
        <v>0</v>
      </c>
      <c r="G872" s="24" t="e">
        <f t="shared" si="416"/>
        <v>#DIV/0!</v>
      </c>
      <c r="H872" s="248">
        <f>'Appendix J-2'!AQ58</f>
        <v>0</v>
      </c>
      <c r="I872" s="688"/>
      <c r="J872" s="205"/>
      <c r="N872" s="453">
        <f t="shared" si="417"/>
        <v>1675</v>
      </c>
      <c r="O872" s="584">
        <f t="shared" si="422"/>
        <v>2.0097442143727162E-2</v>
      </c>
      <c r="P872" s="586">
        <f t="shared" si="424"/>
        <v>8</v>
      </c>
      <c r="Q872" s="452">
        <f t="shared" si="418"/>
        <v>0</v>
      </c>
      <c r="R872" s="451">
        <f t="shared" si="419"/>
        <v>0</v>
      </c>
      <c r="S872" s="452">
        <f t="shared" si="420"/>
        <v>0</v>
      </c>
      <c r="T872" s="587"/>
      <c r="U872" s="685" t="s">
        <v>154</v>
      </c>
      <c r="V872" s="685"/>
      <c r="W872" s="685" t="s">
        <v>609</v>
      </c>
      <c r="X872" s="685"/>
      <c r="AH872" s="17"/>
      <c r="AI872" s="17"/>
    </row>
    <row r="873" spans="1:35" x14ac:dyDescent="0.25">
      <c r="A873" s="21">
        <f>A$13</f>
        <v>1739</v>
      </c>
      <c r="B873" s="149">
        <f t="shared" si="421"/>
        <v>3.8208955223880597E-2</v>
      </c>
      <c r="C873" s="20">
        <f t="shared" si="423"/>
        <v>9</v>
      </c>
      <c r="D873" s="249">
        <f>'Appendix J-2'!AR58</f>
        <v>0</v>
      </c>
      <c r="E873" s="22">
        <f t="shared" si="415"/>
        <v>0</v>
      </c>
      <c r="F873" s="249">
        <f>'Appendix J-2'!AT58</f>
        <v>0</v>
      </c>
      <c r="G873" s="24" t="e">
        <f t="shared" si="416"/>
        <v>#DIV/0!</v>
      </c>
      <c r="H873" s="248">
        <f>'Appendix J-2'!AV58</f>
        <v>0</v>
      </c>
      <c r="I873" s="688"/>
      <c r="J873" s="205"/>
      <c r="N873" s="453">
        <f t="shared" si="417"/>
        <v>1739</v>
      </c>
      <c r="O873" s="584">
        <f t="shared" si="422"/>
        <v>3.8208955223880597E-2</v>
      </c>
      <c r="P873" s="586">
        <f t="shared" si="424"/>
        <v>9</v>
      </c>
      <c r="Q873" s="452">
        <f t="shared" si="418"/>
        <v>0</v>
      </c>
      <c r="R873" s="451">
        <f t="shared" si="419"/>
        <v>0</v>
      </c>
      <c r="S873" s="452">
        <f t="shared" si="420"/>
        <v>0</v>
      </c>
      <c r="T873" s="587"/>
      <c r="U873" s="458" t="s">
        <v>608</v>
      </c>
      <c r="V873" s="458" t="s">
        <v>578</v>
      </c>
      <c r="W873" s="458" t="s">
        <v>608</v>
      </c>
      <c r="X873" s="458" t="s">
        <v>578</v>
      </c>
      <c r="AH873" s="17"/>
      <c r="AI873" s="17"/>
    </row>
    <row r="874" spans="1:35" x14ac:dyDescent="0.25">
      <c r="A874" s="21">
        <f>A$14</f>
        <v>1752</v>
      </c>
      <c r="B874" s="149">
        <f t="shared" si="421"/>
        <v>7.4755606670500289E-3</v>
      </c>
      <c r="C874" s="20">
        <f t="shared" si="423"/>
        <v>10</v>
      </c>
      <c r="D874" s="21">
        <f>Q874</f>
        <v>2</v>
      </c>
      <c r="E874" s="22">
        <f>IF(TREND($E$865:$E$870,$C$865:$C$870,C874)&lt;365,TREND($E$865:$E$870,$C$865:$C$870,C874),365)</f>
        <v>202.38095238095241</v>
      </c>
      <c r="F874" s="21">
        <f>D874*E874</f>
        <v>404.76190476190482</v>
      </c>
      <c r="G874" s="24">
        <f>'DDS Rates for Amend'!AZ17</f>
        <v>328.58</v>
      </c>
      <c r="H874" s="33">
        <f>F874*G874</f>
        <v>132996.66666666669</v>
      </c>
      <c r="I874" s="688"/>
      <c r="J874" s="205"/>
      <c r="N874" s="453">
        <f t="shared" si="417"/>
        <v>1752</v>
      </c>
      <c r="O874" s="584">
        <f t="shared" si="422"/>
        <v>7.4755606670500289E-3</v>
      </c>
      <c r="P874" s="586">
        <f t="shared" si="424"/>
        <v>10</v>
      </c>
      <c r="Q874" s="453">
        <f>ROUND(IF(TREND($Q$865:$Q$870,$N$865:$N$870,N874)&gt;0,TREND($Q$865:$Q$870,$N$865:$N$870,N874),0),0)</f>
        <v>2</v>
      </c>
      <c r="R874" s="451">
        <f>IF(TREND($R$865:$R$873,$N$865:$N$873,N874)&gt;0,TREND($R$865:$R$873,$N$865:$N$873,N874),0)</f>
        <v>49.677303480963104</v>
      </c>
      <c r="S874" s="453">
        <f>Q874*R874</f>
        <v>99.354606961926208</v>
      </c>
      <c r="T874" s="587">
        <v>10</v>
      </c>
      <c r="U874" s="459" t="e">
        <f>Q874*$AB$829</f>
        <v>#DIV/0!</v>
      </c>
      <c r="V874" s="459" t="e">
        <f>Q874*$AC$829</f>
        <v>#DIV/0!</v>
      </c>
      <c r="W874" s="459" t="e">
        <f>R874*$AF$829</f>
        <v>#DIV/0!</v>
      </c>
      <c r="X874" s="459" t="e">
        <f>R874*$AG$829</f>
        <v>#DIV/0!</v>
      </c>
      <c r="AH874" s="17"/>
      <c r="AI874" s="17"/>
    </row>
    <row r="875" spans="1:35" x14ac:dyDescent="0.25">
      <c r="A875" s="21">
        <f>A$15</f>
        <v>1822</v>
      </c>
      <c r="B875" s="149">
        <f t="shared" si="421"/>
        <v>3.9954337899543377E-2</v>
      </c>
      <c r="C875" s="20">
        <f t="shared" si="423"/>
        <v>11</v>
      </c>
      <c r="D875" s="21">
        <f t="shared" ref="D875:D878" si="425">Q875</f>
        <v>1</v>
      </c>
      <c r="E875" s="22">
        <f t="shared" ref="E875:E879" si="426">IF(TREND($E$865:$E$870,$C$865:$C$870,C875)&lt;365,TREND($E$865:$E$870,$C$865:$C$870,C875),365)</f>
        <v>214.59404761904767</v>
      </c>
      <c r="F875" s="21">
        <f t="shared" ref="F875:F879" si="427">D875*E875</f>
        <v>214.59404761904767</v>
      </c>
      <c r="G875" s="24">
        <f>'DDS Rates for Amend'!AZ18</f>
        <v>337.12307999999996</v>
      </c>
      <c r="H875" s="33">
        <f t="shared" ref="H875:H879" si="428">F875*G875</f>
        <v>72344.606283000016</v>
      </c>
      <c r="I875" s="688"/>
      <c r="J875" s="205"/>
      <c r="N875" s="453">
        <f t="shared" si="417"/>
        <v>1822</v>
      </c>
      <c r="O875" s="584">
        <f t="shared" si="422"/>
        <v>3.9954337899543377E-2</v>
      </c>
      <c r="P875" s="586">
        <f t="shared" si="424"/>
        <v>11</v>
      </c>
      <c r="Q875" s="453">
        <f t="shared" ref="Q875:Q879" si="429">ROUND(IF(TREND($Q$865:$Q$870,$N$865:$N$870,N875)&gt;0,TREND($Q$865:$Q$870,$N$865:$N$870,N875),0),0)</f>
        <v>1</v>
      </c>
      <c r="R875" s="451">
        <f t="shared" ref="R875:R879" si="430">IF(TREND($R$865:$R$873,$N$865:$N$873,N875)&gt;0,TREND($R$865:$R$873,$N$865:$N$873,N875),0)</f>
        <v>40.175880799211711</v>
      </c>
      <c r="S875" s="453">
        <f t="shared" ref="S875:S879" si="431">Q875*R875</f>
        <v>40.175880799211711</v>
      </c>
      <c r="T875" s="587">
        <v>11</v>
      </c>
      <c r="U875" s="459" t="e">
        <f t="shared" ref="U875:U879" si="432">Q875*$AB$829</f>
        <v>#DIV/0!</v>
      </c>
      <c r="V875" s="459" t="e">
        <f t="shared" ref="V875:V879" si="433">Q875*$AC$829</f>
        <v>#DIV/0!</v>
      </c>
      <c r="W875" s="459" t="e">
        <f t="shared" ref="W875:W879" si="434">R875*$AF$829</f>
        <v>#DIV/0!</v>
      </c>
      <c r="X875" s="459" t="e">
        <f t="shared" ref="X875:X879" si="435">R875*$AG$829</f>
        <v>#DIV/0!</v>
      </c>
      <c r="AH875" s="17"/>
      <c r="AI875" s="17"/>
    </row>
    <row r="876" spans="1:35" x14ac:dyDescent="0.25">
      <c r="A876" s="21">
        <f>A$16</f>
        <v>1872</v>
      </c>
      <c r="B876" s="149">
        <f t="shared" si="421"/>
        <v>2.7442371020856202E-2</v>
      </c>
      <c r="C876" s="20">
        <f t="shared" si="423"/>
        <v>12</v>
      </c>
      <c r="D876" s="21">
        <f t="shared" si="425"/>
        <v>1</v>
      </c>
      <c r="E876" s="22">
        <f t="shared" si="426"/>
        <v>226.80714285714288</v>
      </c>
      <c r="F876" s="21">
        <f t="shared" si="427"/>
        <v>226.80714285714288</v>
      </c>
      <c r="G876" s="24">
        <f>'DDS Rates for Amend'!AZ19</f>
        <v>345.88828007999996</v>
      </c>
      <c r="H876" s="33">
        <f t="shared" si="428"/>
        <v>78449.932552715996</v>
      </c>
      <c r="I876" s="688"/>
      <c r="J876" s="205"/>
      <c r="N876" s="453">
        <f t="shared" si="417"/>
        <v>1872</v>
      </c>
      <c r="O876" s="584">
        <f t="shared" si="422"/>
        <v>2.7442371020856202E-2</v>
      </c>
      <c r="P876" s="586">
        <f t="shared" si="424"/>
        <v>12</v>
      </c>
      <c r="Q876" s="453">
        <f t="shared" si="429"/>
        <v>1</v>
      </c>
      <c r="R876" s="451">
        <f t="shared" si="430"/>
        <v>33.389150312246443</v>
      </c>
      <c r="S876" s="453">
        <f t="shared" si="431"/>
        <v>33.389150312246443</v>
      </c>
      <c r="T876" s="587">
        <v>12</v>
      </c>
      <c r="U876" s="459" t="e">
        <f t="shared" si="432"/>
        <v>#DIV/0!</v>
      </c>
      <c r="V876" s="459" t="e">
        <f t="shared" si="433"/>
        <v>#DIV/0!</v>
      </c>
      <c r="W876" s="459" t="e">
        <f t="shared" si="434"/>
        <v>#DIV/0!</v>
      </c>
      <c r="X876" s="459" t="e">
        <f t="shared" si="435"/>
        <v>#DIV/0!</v>
      </c>
      <c r="AH876" s="17"/>
      <c r="AI876" s="17"/>
    </row>
    <row r="877" spans="1:35" x14ac:dyDescent="0.25">
      <c r="A877" s="21">
        <f>A$17</f>
        <v>1902</v>
      </c>
      <c r="B877" s="149">
        <f t="shared" si="421"/>
        <v>1.6025641025641024E-2</v>
      </c>
      <c r="C877" s="20">
        <f t="shared" si="423"/>
        <v>13</v>
      </c>
      <c r="D877" s="21">
        <f t="shared" si="425"/>
        <v>1</v>
      </c>
      <c r="E877" s="22">
        <f t="shared" si="426"/>
        <v>239.02023809523814</v>
      </c>
      <c r="F877" s="21">
        <f t="shared" si="427"/>
        <v>239.02023809523814</v>
      </c>
      <c r="G877" s="24">
        <f>'DDS Rates for Amend'!AZ20</f>
        <v>354.88137536207995</v>
      </c>
      <c r="H877" s="33">
        <f t="shared" si="428"/>
        <v>84823.830834609922</v>
      </c>
      <c r="I877" s="688"/>
      <c r="J877" s="205"/>
      <c r="N877" s="453">
        <f t="shared" si="417"/>
        <v>1902</v>
      </c>
      <c r="O877" s="584">
        <f t="shared" si="422"/>
        <v>1.6025641025641024E-2</v>
      </c>
      <c r="P877" s="586">
        <f t="shared" si="424"/>
        <v>13</v>
      </c>
      <c r="Q877" s="453">
        <f t="shared" si="429"/>
        <v>1</v>
      </c>
      <c r="R877" s="451">
        <f t="shared" si="430"/>
        <v>29.31711202006727</v>
      </c>
      <c r="S877" s="453">
        <f t="shared" si="431"/>
        <v>29.31711202006727</v>
      </c>
      <c r="T877" s="587">
        <v>13</v>
      </c>
      <c r="U877" s="459" t="e">
        <f t="shared" si="432"/>
        <v>#DIV/0!</v>
      </c>
      <c r="V877" s="459" t="e">
        <f t="shared" si="433"/>
        <v>#DIV/0!</v>
      </c>
      <c r="W877" s="459" t="e">
        <f t="shared" si="434"/>
        <v>#DIV/0!</v>
      </c>
      <c r="X877" s="459" t="e">
        <f t="shared" si="435"/>
        <v>#DIV/0!</v>
      </c>
      <c r="AH877" s="17"/>
      <c r="AI877" s="17"/>
    </row>
    <row r="878" spans="1:35" x14ac:dyDescent="0.25">
      <c r="A878" s="21">
        <f>A$18</f>
        <v>1932</v>
      </c>
      <c r="B878" s="149">
        <f t="shared" si="421"/>
        <v>1.5772870662460567E-2</v>
      </c>
      <c r="C878" s="20">
        <f t="shared" si="423"/>
        <v>14</v>
      </c>
      <c r="D878" s="21">
        <f t="shared" si="425"/>
        <v>1</v>
      </c>
      <c r="E878" s="22">
        <f t="shared" si="426"/>
        <v>251.23333333333341</v>
      </c>
      <c r="F878" s="21">
        <f t="shared" si="427"/>
        <v>251.23333333333341</v>
      </c>
      <c r="G878" s="24">
        <f>'DDS Rates for Amend'!AZ21</f>
        <v>364.10829112149401</v>
      </c>
      <c r="H878" s="33">
        <f t="shared" si="428"/>
        <v>91476.139672756704</v>
      </c>
      <c r="I878" s="688"/>
      <c r="J878" s="205"/>
      <c r="N878" s="453">
        <f t="shared" si="417"/>
        <v>1932</v>
      </c>
      <c r="O878" s="584">
        <f t="shared" si="422"/>
        <v>1.5772870662460567E-2</v>
      </c>
      <c r="P878" s="586">
        <f t="shared" si="424"/>
        <v>14</v>
      </c>
      <c r="Q878" s="453">
        <f t="shared" si="429"/>
        <v>1</v>
      </c>
      <c r="R878" s="451">
        <f t="shared" si="430"/>
        <v>25.245073727888098</v>
      </c>
      <c r="S878" s="453">
        <f t="shared" si="431"/>
        <v>25.245073727888098</v>
      </c>
      <c r="T878" s="587">
        <v>14</v>
      </c>
      <c r="U878" s="459" t="e">
        <f t="shared" si="432"/>
        <v>#DIV/0!</v>
      </c>
      <c r="V878" s="459" t="e">
        <f t="shared" si="433"/>
        <v>#DIV/0!</v>
      </c>
      <c r="W878" s="459" t="e">
        <f t="shared" si="434"/>
        <v>#DIV/0!</v>
      </c>
      <c r="X878" s="459" t="e">
        <f t="shared" si="435"/>
        <v>#DIV/0!</v>
      </c>
      <c r="AH878" s="17"/>
      <c r="AI878" s="17"/>
    </row>
    <row r="879" spans="1:35" x14ac:dyDescent="0.25">
      <c r="A879" s="21">
        <f>A$19</f>
        <v>1962</v>
      </c>
      <c r="B879" s="149">
        <f t="shared" si="421"/>
        <v>1.5527950310559006E-2</v>
      </c>
      <c r="C879" s="20">
        <f t="shared" si="423"/>
        <v>15</v>
      </c>
      <c r="D879" s="21">
        <f>D878</f>
        <v>1</v>
      </c>
      <c r="E879" s="22">
        <f t="shared" si="426"/>
        <v>263.44642857142861</v>
      </c>
      <c r="F879" s="21">
        <f t="shared" si="427"/>
        <v>263.44642857142861</v>
      </c>
      <c r="G879" s="24">
        <f>'DDS Rates for Amend'!AZ22</f>
        <v>373.57510669065283</v>
      </c>
      <c r="H879" s="33">
        <f t="shared" si="428"/>
        <v>98417.027660842898</v>
      </c>
      <c r="I879" s="689"/>
      <c r="J879" s="205"/>
      <c r="K879" s="285">
        <f>SUM(H865:H879)</f>
        <v>1302458.2036705923</v>
      </c>
      <c r="L879" s="17">
        <f>IF(K879='Appendix J-2'!CD58,0,error)</f>
        <v>0</v>
      </c>
      <c r="N879" s="453">
        <f t="shared" si="417"/>
        <v>1962</v>
      </c>
      <c r="O879" s="584">
        <f t="shared" si="422"/>
        <v>1.5527950310559006E-2</v>
      </c>
      <c r="P879" s="586">
        <f t="shared" si="424"/>
        <v>15</v>
      </c>
      <c r="Q879" s="453">
        <f t="shared" si="429"/>
        <v>0</v>
      </c>
      <c r="R879" s="451">
        <f t="shared" si="430"/>
        <v>21.173035435708925</v>
      </c>
      <c r="S879" s="453">
        <f t="shared" si="431"/>
        <v>0</v>
      </c>
      <c r="T879" s="587">
        <v>15</v>
      </c>
      <c r="U879" s="459" t="e">
        <f t="shared" si="432"/>
        <v>#DIV/0!</v>
      </c>
      <c r="V879" s="459" t="e">
        <f t="shared" si="433"/>
        <v>#DIV/0!</v>
      </c>
      <c r="W879" s="459" t="e">
        <f t="shared" si="434"/>
        <v>#DIV/0!</v>
      </c>
      <c r="X879" s="459" t="e">
        <f t="shared" si="435"/>
        <v>#DIV/0!</v>
      </c>
      <c r="AH879" s="17"/>
      <c r="AI879" s="17"/>
    </row>
    <row r="880" spans="1:35" x14ac:dyDescent="0.25">
      <c r="C880"/>
      <c r="I880" s="568"/>
      <c r="J880"/>
      <c r="N880" s="446"/>
      <c r="O880" s="446"/>
      <c r="P880" s="446"/>
      <c r="Q880" s="466"/>
      <c r="R880" s="454"/>
      <c r="S880" s="446"/>
      <c r="T880" s="446"/>
      <c r="U880" s="446"/>
      <c r="V880" s="446"/>
      <c r="W880" s="446"/>
      <c r="X880" s="446"/>
      <c r="AH880" s="17"/>
      <c r="AI880" s="17"/>
    </row>
    <row r="881" spans="1:35" x14ac:dyDescent="0.25">
      <c r="A881" s="271" t="s">
        <v>111</v>
      </c>
      <c r="B881" s="272"/>
      <c r="C881" s="272"/>
      <c r="D881" s="292" t="str">
        <f>'Appendix J-2'!B59</f>
        <v>Assistance</v>
      </c>
      <c r="E881" s="223" t="str">
        <f>'Appendix J-2'!C59</f>
        <v>1 day</v>
      </c>
      <c r="F881" s="690"/>
      <c r="G881" s="690"/>
      <c r="H881" s="690"/>
      <c r="I881" s="687" t="s">
        <v>1109</v>
      </c>
      <c r="J881" s="205"/>
      <c r="N881" s="577" t="s">
        <v>566</v>
      </c>
      <c r="O881" s="578"/>
      <c r="P881" s="578"/>
      <c r="Q881" s="579"/>
      <c r="R881" s="447"/>
      <c r="S881" s="448"/>
      <c r="T881" s="446"/>
      <c r="U881" s="446"/>
      <c r="V881" s="446"/>
      <c r="W881" s="446"/>
      <c r="X881" s="446"/>
      <c r="AH881" s="17"/>
      <c r="AI881" s="17"/>
    </row>
    <row r="882" spans="1:35" ht="30" x14ac:dyDescent="0.25">
      <c r="A882" s="147" t="s">
        <v>26</v>
      </c>
      <c r="B882" s="147" t="s">
        <v>27</v>
      </c>
      <c r="C882" s="50" t="s">
        <v>166</v>
      </c>
      <c r="D882" s="91" t="s">
        <v>154</v>
      </c>
      <c r="E882" s="89" t="s">
        <v>155</v>
      </c>
      <c r="F882" s="34" t="s">
        <v>158</v>
      </c>
      <c r="G882" s="35" t="s">
        <v>156</v>
      </c>
      <c r="H882" s="51" t="s">
        <v>157</v>
      </c>
      <c r="I882" s="688"/>
      <c r="J882" s="205"/>
      <c r="N882" s="580" t="s">
        <v>26</v>
      </c>
      <c r="O882" s="580" t="s">
        <v>27</v>
      </c>
      <c r="P882" s="471" t="s">
        <v>166</v>
      </c>
      <c r="Q882" s="581" t="s">
        <v>154</v>
      </c>
      <c r="R882" s="449" t="s">
        <v>155</v>
      </c>
      <c r="S882" s="450" t="s">
        <v>158</v>
      </c>
      <c r="T882" s="446"/>
      <c r="U882" s="446"/>
      <c r="V882" s="446"/>
      <c r="W882" s="446"/>
      <c r="X882" s="446"/>
      <c r="AH882" s="17"/>
      <c r="AI882" s="17"/>
    </row>
    <row r="883" spans="1:35" ht="15" customHeight="1" x14ac:dyDescent="0.25">
      <c r="A883" s="21">
        <f>A$5</f>
        <v>1182</v>
      </c>
      <c r="B883" s="148"/>
      <c r="C883" s="144">
        <v>1</v>
      </c>
      <c r="D883" s="247">
        <f>'Appendix J-2'!D59</f>
        <v>23</v>
      </c>
      <c r="E883" s="22">
        <f>IF(F883=0,0,F883/D883)</f>
        <v>93.608695652173907</v>
      </c>
      <c r="F883" s="247">
        <f>'Appendix J-2'!F59</f>
        <v>2153</v>
      </c>
      <c r="G883" s="24">
        <f>H883/F883</f>
        <v>327.09405480724575</v>
      </c>
      <c r="H883" s="250">
        <f>'Appendix J-2'!H59</f>
        <v>704233.50000000012</v>
      </c>
      <c r="I883" s="688"/>
      <c r="J883" s="205"/>
      <c r="N883" s="453">
        <f>A883</f>
        <v>1182</v>
      </c>
      <c r="O883" s="582"/>
      <c r="P883" s="583">
        <v>1</v>
      </c>
      <c r="Q883" s="452">
        <f>D883+D1369</f>
        <v>23</v>
      </c>
      <c r="R883" s="451">
        <f>IF(S883=0,0,S883/Q883)</f>
        <v>93.608695652173907</v>
      </c>
      <c r="S883" s="452">
        <f>+F883+F1369</f>
        <v>2153</v>
      </c>
      <c r="T883" s="446"/>
      <c r="U883" s="446"/>
      <c r="V883" s="446"/>
      <c r="W883" s="446"/>
      <c r="X883" s="446"/>
      <c r="AH883" s="17"/>
      <c r="AI883" s="17"/>
    </row>
    <row r="884" spans="1:35" x14ac:dyDescent="0.25">
      <c r="A884" s="21">
        <f>A$6</f>
        <v>1288</v>
      </c>
      <c r="B884" s="149">
        <f>(A884-A883)/A883</f>
        <v>8.9678510998307953E-2</v>
      </c>
      <c r="C884" s="52">
        <v>2</v>
      </c>
      <c r="D884" s="247">
        <f>'Appendix J-2'!I59</f>
        <v>17</v>
      </c>
      <c r="E884" s="22">
        <f t="shared" ref="E884:E891" si="436">IF(F884=0,0,F884/D884)</f>
        <v>137</v>
      </c>
      <c r="F884" s="247">
        <f>'Appendix J-2'!K59</f>
        <v>2329</v>
      </c>
      <c r="G884" s="24">
        <f t="shared" ref="G884:G891" si="437">H884/F884</f>
        <v>328.462516101331</v>
      </c>
      <c r="H884" s="250">
        <f>'Appendix J-2'!M59</f>
        <v>764989.2</v>
      </c>
      <c r="I884" s="688"/>
      <c r="J884" s="205"/>
      <c r="N884" s="453">
        <f t="shared" ref="N884:N897" si="438">A884</f>
        <v>1288</v>
      </c>
      <c r="O884" s="584">
        <f>(N884-N883)/N883</f>
        <v>8.9678510998307953E-2</v>
      </c>
      <c r="P884" s="585">
        <v>2</v>
      </c>
      <c r="Q884" s="452">
        <f t="shared" ref="Q884:Q891" si="439">D884+D1370</f>
        <v>17</v>
      </c>
      <c r="R884" s="451">
        <f t="shared" ref="R884:R891" si="440">IF(S884=0,0,S884/Q884)</f>
        <v>137</v>
      </c>
      <c r="S884" s="452">
        <f t="shared" ref="S884:S891" si="441">+F884+F1370</f>
        <v>2329</v>
      </c>
      <c r="T884" s="446"/>
      <c r="U884" s="446"/>
      <c r="V884" s="446"/>
      <c r="W884" s="446"/>
      <c r="X884" s="446"/>
      <c r="AH884" s="17"/>
      <c r="AI884" s="17"/>
    </row>
    <row r="885" spans="1:35" x14ac:dyDescent="0.25">
      <c r="A885" s="21">
        <f>A$7</f>
        <v>1495</v>
      </c>
      <c r="B885" s="149">
        <f t="shared" ref="B885:B897" si="442">(A885-A884)/A884</f>
        <v>0.16071428571428573</v>
      </c>
      <c r="C885" s="52">
        <v>3</v>
      </c>
      <c r="D885" s="247">
        <f>'Appendix J-2'!N59</f>
        <v>20</v>
      </c>
      <c r="E885" s="22">
        <f t="shared" si="436"/>
        <v>146.4</v>
      </c>
      <c r="F885" s="247">
        <f>'Appendix J-2'!P59</f>
        <v>2928</v>
      </c>
      <c r="G885" s="24">
        <f t="shared" si="437"/>
        <v>329.46174863387978</v>
      </c>
      <c r="H885" s="248">
        <f>'Appendix J-2'!R59</f>
        <v>964664</v>
      </c>
      <c r="I885" s="688"/>
      <c r="J885" s="205"/>
      <c r="N885" s="453">
        <f t="shared" si="438"/>
        <v>1495</v>
      </c>
      <c r="O885" s="584">
        <f t="shared" ref="O885:O897" si="443">(N885-N884)/N884</f>
        <v>0.16071428571428573</v>
      </c>
      <c r="P885" s="585">
        <v>3</v>
      </c>
      <c r="Q885" s="452">
        <f t="shared" si="439"/>
        <v>20</v>
      </c>
      <c r="R885" s="451">
        <f t="shared" si="440"/>
        <v>146.4</v>
      </c>
      <c r="S885" s="452">
        <f t="shared" si="441"/>
        <v>2928</v>
      </c>
      <c r="T885" s="446"/>
      <c r="U885" s="446"/>
      <c r="V885" s="446"/>
      <c r="W885" s="446"/>
      <c r="X885" s="446"/>
      <c r="AH885" s="17"/>
      <c r="AI885" s="17"/>
    </row>
    <row r="886" spans="1:35" x14ac:dyDescent="0.25">
      <c r="A886" s="21">
        <f>A$8</f>
        <v>1484</v>
      </c>
      <c r="B886" s="149">
        <f t="shared" si="442"/>
        <v>-7.3578595317725752E-3</v>
      </c>
      <c r="C886" s="52">
        <f t="shared" ref="C886:C897" si="444">C885+1</f>
        <v>4</v>
      </c>
      <c r="D886" s="247">
        <f>'Appendix J-2'!S59</f>
        <v>20</v>
      </c>
      <c r="E886" s="22">
        <f t="shared" si="436"/>
        <v>121.25</v>
      </c>
      <c r="F886" s="247">
        <f>'Appendix J-2'!U59</f>
        <v>2425</v>
      </c>
      <c r="G886" s="24">
        <f t="shared" si="437"/>
        <v>329.51835051546391</v>
      </c>
      <c r="H886" s="248">
        <f>'Appendix J-2'!W59</f>
        <v>799082</v>
      </c>
      <c r="I886" s="688"/>
      <c r="J886" s="205"/>
      <c r="N886" s="453">
        <f t="shared" si="438"/>
        <v>1484</v>
      </c>
      <c r="O886" s="584">
        <f t="shared" si="443"/>
        <v>-7.3578595317725752E-3</v>
      </c>
      <c r="P886" s="585">
        <f t="shared" ref="P886:P897" si="445">P885+1</f>
        <v>4</v>
      </c>
      <c r="Q886" s="452">
        <f t="shared" si="439"/>
        <v>20</v>
      </c>
      <c r="R886" s="451">
        <f t="shared" si="440"/>
        <v>121.25</v>
      </c>
      <c r="S886" s="452">
        <f t="shared" si="441"/>
        <v>2425</v>
      </c>
      <c r="T886" s="446"/>
      <c r="U886" s="446"/>
      <c r="V886" s="446"/>
      <c r="W886" s="446"/>
      <c r="X886" s="446"/>
      <c r="AH886" s="17"/>
      <c r="AI886" s="17"/>
    </row>
    <row r="887" spans="1:35" x14ac:dyDescent="0.25">
      <c r="A887" s="21">
        <f>A$9</f>
        <v>1528</v>
      </c>
      <c r="B887" s="149">
        <f t="shared" si="442"/>
        <v>2.9649595687331536E-2</v>
      </c>
      <c r="C887" s="52">
        <f t="shared" si="444"/>
        <v>5</v>
      </c>
      <c r="D887" s="247">
        <f>'Appendix J-2'!X59</f>
        <v>15</v>
      </c>
      <c r="E887" s="22">
        <f t="shared" si="436"/>
        <v>213</v>
      </c>
      <c r="F887" s="247">
        <f>'Appendix J-2'!Z59</f>
        <v>3195</v>
      </c>
      <c r="G887" s="24">
        <f t="shared" si="437"/>
        <v>329.19218779342725</v>
      </c>
      <c r="H887" s="248">
        <f>'Appendix J-2'!AB59</f>
        <v>1051769.04</v>
      </c>
      <c r="I887" s="688"/>
      <c r="J887" s="205"/>
      <c r="N887" s="453">
        <f t="shared" si="438"/>
        <v>1528</v>
      </c>
      <c r="O887" s="584">
        <f t="shared" si="443"/>
        <v>2.9649595687331536E-2</v>
      </c>
      <c r="P887" s="585">
        <f t="shared" si="445"/>
        <v>5</v>
      </c>
      <c r="Q887" s="452">
        <f t="shared" si="439"/>
        <v>15</v>
      </c>
      <c r="R887" s="451">
        <f t="shared" si="440"/>
        <v>213</v>
      </c>
      <c r="S887" s="452">
        <f t="shared" si="441"/>
        <v>3195</v>
      </c>
      <c r="T887" s="446"/>
      <c r="U887" s="446"/>
      <c r="V887" s="446"/>
      <c r="W887" s="446"/>
      <c r="X887" s="446"/>
      <c r="AH887" s="17"/>
      <c r="AI887" s="17"/>
    </row>
    <row r="888" spans="1:35" x14ac:dyDescent="0.25">
      <c r="A888" s="21">
        <f>A$10</f>
        <v>1592</v>
      </c>
      <c r="B888" s="149">
        <f t="shared" si="442"/>
        <v>4.1884816753926704E-2</v>
      </c>
      <c r="C888" s="20">
        <f t="shared" si="444"/>
        <v>6</v>
      </c>
      <c r="D888" s="249">
        <f>'Appendix J-2'!AC59</f>
        <v>26</v>
      </c>
      <c r="E888" s="22">
        <f t="shared" si="436"/>
        <v>136.11538461538461</v>
      </c>
      <c r="F888" s="249">
        <f>'Appendix J-2'!AE59</f>
        <v>3539</v>
      </c>
      <c r="G888" s="24">
        <f t="shared" si="437"/>
        <v>311</v>
      </c>
      <c r="H888" s="248">
        <f>'Appendix J-2'!AG59</f>
        <v>1100629</v>
      </c>
      <c r="I888" s="688"/>
      <c r="J888" s="205"/>
      <c r="N888" s="453">
        <f t="shared" si="438"/>
        <v>1592</v>
      </c>
      <c r="O888" s="584">
        <f t="shared" si="443"/>
        <v>4.1884816753926704E-2</v>
      </c>
      <c r="P888" s="586">
        <f t="shared" si="445"/>
        <v>6</v>
      </c>
      <c r="Q888" s="452">
        <f t="shared" si="439"/>
        <v>26</v>
      </c>
      <c r="R888" s="451">
        <f t="shared" si="440"/>
        <v>136.11538461538461</v>
      </c>
      <c r="S888" s="452">
        <f t="shared" si="441"/>
        <v>3539</v>
      </c>
      <c r="T888" s="446"/>
      <c r="U888" s="446"/>
      <c r="V888" s="446"/>
      <c r="W888" s="446"/>
      <c r="X888" s="446"/>
      <c r="AH888" s="17"/>
      <c r="AI888" s="17"/>
    </row>
    <row r="889" spans="1:35" x14ac:dyDescent="0.25">
      <c r="A889" s="21">
        <f>A$11</f>
        <v>1642</v>
      </c>
      <c r="B889" s="149">
        <f t="shared" si="442"/>
        <v>3.1407035175879394E-2</v>
      </c>
      <c r="C889" s="20">
        <f t="shared" si="444"/>
        <v>7</v>
      </c>
      <c r="D889" s="249">
        <f>'Appendix J-2'!AH59</f>
        <v>23</v>
      </c>
      <c r="E889" s="22">
        <f t="shared" si="436"/>
        <v>139.21739130434781</v>
      </c>
      <c r="F889" s="249">
        <f>'Appendix J-2'!AJ59</f>
        <v>3202</v>
      </c>
      <c r="G889" s="24">
        <f t="shared" si="437"/>
        <v>310.41959400374765</v>
      </c>
      <c r="H889" s="248">
        <f>'Appendix J-2'!AL59</f>
        <v>993963.54</v>
      </c>
      <c r="I889" s="688"/>
      <c r="J889" s="205"/>
      <c r="N889" s="453">
        <f t="shared" si="438"/>
        <v>1642</v>
      </c>
      <c r="O889" s="584">
        <f t="shared" si="443"/>
        <v>3.1407035175879394E-2</v>
      </c>
      <c r="P889" s="586">
        <f t="shared" si="445"/>
        <v>7</v>
      </c>
      <c r="Q889" s="452">
        <f t="shared" si="439"/>
        <v>24</v>
      </c>
      <c r="R889" s="451">
        <f t="shared" si="440"/>
        <v>135.20833333333334</v>
      </c>
      <c r="S889" s="452">
        <f t="shared" si="441"/>
        <v>3245</v>
      </c>
      <c r="T889" s="682" t="s">
        <v>610</v>
      </c>
      <c r="U889" s="683"/>
      <c r="V889" s="683"/>
      <c r="W889" s="683"/>
      <c r="X889" s="683"/>
      <c r="AH889" s="17"/>
      <c r="AI889" s="17"/>
    </row>
    <row r="890" spans="1:35" x14ac:dyDescent="0.25">
      <c r="A890" s="21">
        <f>A$12</f>
        <v>1675</v>
      </c>
      <c r="B890" s="149">
        <f t="shared" si="442"/>
        <v>2.0097442143727162E-2</v>
      </c>
      <c r="C890" s="20">
        <f t="shared" si="444"/>
        <v>8</v>
      </c>
      <c r="D890" s="249">
        <f>'Appendix J-2'!AM59</f>
        <v>11</v>
      </c>
      <c r="E890" s="22">
        <f t="shared" si="436"/>
        <v>214.54545454545453</v>
      </c>
      <c r="F890" s="249">
        <f>'Appendix J-2'!AO59</f>
        <v>2360</v>
      </c>
      <c r="G890" s="24">
        <f t="shared" si="437"/>
        <v>338.5476652542373</v>
      </c>
      <c r="H890" s="248">
        <f>'Appendix J-2'!AQ59</f>
        <v>798972.49</v>
      </c>
      <c r="I890" s="688"/>
      <c r="J890" s="205"/>
      <c r="N890" s="453">
        <f t="shared" si="438"/>
        <v>1675</v>
      </c>
      <c r="O890" s="584">
        <f t="shared" si="443"/>
        <v>2.0097442143727162E-2</v>
      </c>
      <c r="P890" s="586">
        <f t="shared" si="445"/>
        <v>8</v>
      </c>
      <c r="Q890" s="452">
        <f t="shared" si="439"/>
        <v>13</v>
      </c>
      <c r="R890" s="451">
        <f t="shared" si="440"/>
        <v>191.30769230769232</v>
      </c>
      <c r="S890" s="452">
        <f t="shared" si="441"/>
        <v>2487</v>
      </c>
      <c r="T890" s="587"/>
      <c r="U890" s="685" t="s">
        <v>154</v>
      </c>
      <c r="V890" s="685"/>
      <c r="W890" s="685" t="s">
        <v>609</v>
      </c>
      <c r="X890" s="685"/>
      <c r="AH890" s="17"/>
      <c r="AI890" s="17"/>
    </row>
    <row r="891" spans="1:35" x14ac:dyDescent="0.25">
      <c r="A891" s="21">
        <f>A$13</f>
        <v>1739</v>
      </c>
      <c r="B891" s="149">
        <f t="shared" si="442"/>
        <v>3.8208955223880597E-2</v>
      </c>
      <c r="C891" s="20">
        <f t="shared" si="444"/>
        <v>9</v>
      </c>
      <c r="D891" s="249">
        <f>'Appendix J-2'!AR59</f>
        <v>13</v>
      </c>
      <c r="E891" s="22">
        <f t="shared" si="436"/>
        <v>189</v>
      </c>
      <c r="F891" s="249">
        <f>'Appendix J-2'!AT59</f>
        <v>2457</v>
      </c>
      <c r="G891" s="24">
        <f t="shared" si="437"/>
        <v>335.42472120472121</v>
      </c>
      <c r="H891" s="248">
        <f>'Appendix J-2'!AV59</f>
        <v>824138.54</v>
      </c>
      <c r="I891" s="688"/>
      <c r="J891" s="205"/>
      <c r="N891" s="453">
        <f t="shared" si="438"/>
        <v>1739</v>
      </c>
      <c r="O891" s="584">
        <f t="shared" si="443"/>
        <v>3.8208955223880597E-2</v>
      </c>
      <c r="P891" s="586">
        <f t="shared" si="445"/>
        <v>9</v>
      </c>
      <c r="Q891" s="452">
        <f t="shared" si="439"/>
        <v>16</v>
      </c>
      <c r="R891" s="451">
        <f t="shared" si="440"/>
        <v>154.3125</v>
      </c>
      <c r="S891" s="452">
        <f t="shared" si="441"/>
        <v>2469</v>
      </c>
      <c r="T891" s="587"/>
      <c r="U891" s="458" t="s">
        <v>608</v>
      </c>
      <c r="V891" s="458" t="s">
        <v>578</v>
      </c>
      <c r="W891" s="458" t="s">
        <v>608</v>
      </c>
      <c r="X891" s="458" t="s">
        <v>578</v>
      </c>
      <c r="AH891" s="17"/>
      <c r="AI891" s="17"/>
    </row>
    <row r="892" spans="1:35" x14ac:dyDescent="0.25">
      <c r="A892" s="21">
        <f>A$14</f>
        <v>1752</v>
      </c>
      <c r="B892" s="149">
        <f t="shared" si="442"/>
        <v>7.4755606670500289E-3</v>
      </c>
      <c r="C892" s="20">
        <f t="shared" si="444"/>
        <v>10</v>
      </c>
      <c r="D892" s="21">
        <f>AN830</f>
        <v>9</v>
      </c>
      <c r="E892" s="22">
        <f>IF(TREND($E$883:$E$891,$C$883:$C$891,C892)&lt;365,TREND($E$883:$E$891,$C$883:$C$891,C892),365)</f>
        <v>205.68480414513022</v>
      </c>
      <c r="F892" s="21">
        <f>D892*E892</f>
        <v>1851.1632373061721</v>
      </c>
      <c r="G892" s="24">
        <f>'DDS Rates for Amend'!BA17</f>
        <v>338.93</v>
      </c>
      <c r="H892" s="33">
        <f>F892*G892</f>
        <v>627414.75602018088</v>
      </c>
      <c r="I892" s="688"/>
      <c r="J892" s="205"/>
      <c r="N892" s="453">
        <f t="shared" si="438"/>
        <v>1752</v>
      </c>
      <c r="O892" s="584">
        <f t="shared" si="443"/>
        <v>7.4755606670500289E-3</v>
      </c>
      <c r="P892" s="586">
        <f t="shared" si="445"/>
        <v>10</v>
      </c>
      <c r="Q892" s="453">
        <f>ROUND((TREND($Q$883:$Q$891,$N$883:$N$891,N892)),0)</f>
        <v>18</v>
      </c>
      <c r="R892" s="451">
        <f>IF(TREND($R$883:$R$891,$N$883:$N$891,N892)&lt;365,TREND($R$883:$R$891,$N$883:$N$891,N892),365)</f>
        <v>173.15185128000809</v>
      </c>
      <c r="S892" s="453">
        <f>Q892*R892</f>
        <v>3116.7333230401455</v>
      </c>
      <c r="T892" s="587">
        <v>10</v>
      </c>
      <c r="U892" s="459">
        <f>Q892*$AB$830</f>
        <v>14.625</v>
      </c>
      <c r="V892" s="459">
        <f>Q892*$AC$830</f>
        <v>3.375</v>
      </c>
      <c r="W892" s="459">
        <f>R892*$AF$830</f>
        <v>172.31028699675167</v>
      </c>
      <c r="X892" s="459">
        <f>R892*$AG$830</f>
        <v>0.8415642832564183</v>
      </c>
      <c r="AH892" s="17"/>
      <c r="AI892" s="17"/>
    </row>
    <row r="893" spans="1:35" x14ac:dyDescent="0.25">
      <c r="A893" s="21">
        <f>A$15</f>
        <v>1822</v>
      </c>
      <c r="B893" s="149">
        <f t="shared" si="442"/>
        <v>3.9954337899543377E-2</v>
      </c>
      <c r="C893" s="20">
        <f t="shared" si="444"/>
        <v>11</v>
      </c>
      <c r="D893" s="21">
        <f>AQ830</f>
        <v>10</v>
      </c>
      <c r="E893" s="22">
        <f t="shared" ref="E893:E897" si="446">IF(TREND($E$883:$E$891,$C$883:$C$891,C893)&lt;365,TREND($E$883:$E$891,$C$883:$C$891,C893),365)</f>
        <v>215.92983328265936</v>
      </c>
      <c r="F893" s="21">
        <f t="shared" ref="F893:F897" si="447">D893*E893</f>
        <v>2159.2983328265937</v>
      </c>
      <c r="G893" s="24">
        <f>'DDS Rates for Amend'!BA18</f>
        <v>347.74218000000002</v>
      </c>
      <c r="H893" s="33">
        <f t="shared" ref="H893:H897" si="448">F893*G893</f>
        <v>750879.10952748533</v>
      </c>
      <c r="I893" s="688"/>
      <c r="J893" s="205"/>
      <c r="N893" s="453">
        <f t="shared" si="438"/>
        <v>1822</v>
      </c>
      <c r="O893" s="584">
        <f t="shared" si="443"/>
        <v>3.9954337899543377E-2</v>
      </c>
      <c r="P893" s="586">
        <f t="shared" si="445"/>
        <v>11</v>
      </c>
      <c r="Q893" s="453">
        <f t="shared" ref="Q893:Q897" si="449">ROUND((TREND($Q$883:$Q$891,$N$883:$N$891,N893)),0)</f>
        <v>18</v>
      </c>
      <c r="R893" s="451">
        <f t="shared" ref="R893:R897" si="450">IF(TREND($R$883:$R$891,$N$883:$N$891,N893)&lt;365,TREND($R$883:$R$891,$N$883:$N$891,N893),365)</f>
        <v>180.67004255056534</v>
      </c>
      <c r="S893" s="453">
        <f t="shared" ref="S893:S897" si="451">Q893*R893</f>
        <v>3252.0607659101761</v>
      </c>
      <c r="T893" s="587">
        <v>11</v>
      </c>
      <c r="U893" s="459">
        <f t="shared" ref="U893:U897" si="452">Q893*$AB$830</f>
        <v>14.625</v>
      </c>
      <c r="V893" s="459">
        <f t="shared" ref="V893:V897" si="453">Q893*$AC$830</f>
        <v>3.375</v>
      </c>
      <c r="W893" s="459">
        <f t="shared" ref="W893:W897" si="454">R893*$AF$830</f>
        <v>179.79193784801095</v>
      </c>
      <c r="X893" s="459">
        <f t="shared" ref="X893:X897" si="455">R893*$AG$830</f>
        <v>0.87810470255438799</v>
      </c>
      <c r="AH893" s="17"/>
      <c r="AI893" s="17"/>
    </row>
    <row r="894" spans="1:35" x14ac:dyDescent="0.25">
      <c r="A894" s="21">
        <f>A$16</f>
        <v>1872</v>
      </c>
      <c r="B894" s="149">
        <f t="shared" si="442"/>
        <v>2.7442371020856202E-2</v>
      </c>
      <c r="C894" s="20">
        <f t="shared" si="444"/>
        <v>12</v>
      </c>
      <c r="D894" s="21">
        <f>AT830</f>
        <v>10</v>
      </c>
      <c r="E894" s="22">
        <f t="shared" si="446"/>
        <v>226.1748624201885</v>
      </c>
      <c r="F894" s="21">
        <f t="shared" si="447"/>
        <v>2261.7486242018849</v>
      </c>
      <c r="G894" s="24">
        <f>'DDS Rates for Amend'!BA19</f>
        <v>356.78347668000004</v>
      </c>
      <c r="H894" s="33">
        <f t="shared" si="448"/>
        <v>806954.53751895542</v>
      </c>
      <c r="I894" s="688"/>
      <c r="J894" s="205"/>
      <c r="N894" s="453">
        <f t="shared" si="438"/>
        <v>1872</v>
      </c>
      <c r="O894" s="584">
        <f t="shared" si="443"/>
        <v>2.7442371020856202E-2</v>
      </c>
      <c r="P894" s="586">
        <f t="shared" si="445"/>
        <v>12</v>
      </c>
      <c r="Q894" s="453">
        <f t="shared" si="449"/>
        <v>17</v>
      </c>
      <c r="R894" s="451">
        <f t="shared" si="450"/>
        <v>186.04017917239196</v>
      </c>
      <c r="S894" s="453">
        <f t="shared" si="451"/>
        <v>3162.6830459306634</v>
      </c>
      <c r="T894" s="587">
        <v>12</v>
      </c>
      <c r="U894" s="459">
        <f t="shared" si="452"/>
        <v>13.8125</v>
      </c>
      <c r="V894" s="459">
        <f t="shared" si="453"/>
        <v>3.1875</v>
      </c>
      <c r="W894" s="459">
        <f t="shared" si="454"/>
        <v>185.13597417033901</v>
      </c>
      <c r="X894" s="459">
        <f t="shared" si="455"/>
        <v>0.90420500205293775</v>
      </c>
      <c r="AH894" s="17"/>
      <c r="AI894" s="17"/>
    </row>
    <row r="895" spans="1:35" x14ac:dyDescent="0.25">
      <c r="A895" s="21">
        <f>A$17</f>
        <v>1902</v>
      </c>
      <c r="B895" s="149">
        <f t="shared" si="442"/>
        <v>1.6025641025641024E-2</v>
      </c>
      <c r="C895" s="20">
        <f t="shared" si="444"/>
        <v>13</v>
      </c>
      <c r="D895" s="21">
        <f>AW830</f>
        <v>10</v>
      </c>
      <c r="E895" s="22">
        <f t="shared" si="446"/>
        <v>236.41989155771765</v>
      </c>
      <c r="F895" s="21">
        <f t="shared" si="447"/>
        <v>2364.1989155771766</v>
      </c>
      <c r="G895" s="24">
        <f>'DDS Rates for Amend'!BA20</f>
        <v>366.05984707368003</v>
      </c>
      <c r="H895" s="33">
        <f t="shared" si="448"/>
        <v>865438.2934879415</v>
      </c>
      <c r="I895" s="688"/>
      <c r="J895" s="205"/>
      <c r="N895" s="453">
        <f t="shared" si="438"/>
        <v>1902</v>
      </c>
      <c r="O895" s="584">
        <f t="shared" si="443"/>
        <v>1.6025641025641024E-2</v>
      </c>
      <c r="P895" s="586">
        <f t="shared" si="445"/>
        <v>13</v>
      </c>
      <c r="Q895" s="453">
        <f t="shared" si="449"/>
        <v>17</v>
      </c>
      <c r="R895" s="451">
        <f t="shared" si="450"/>
        <v>189.26226114548794</v>
      </c>
      <c r="S895" s="453">
        <f t="shared" si="451"/>
        <v>3217.4584394732951</v>
      </c>
      <c r="T895" s="587">
        <v>13</v>
      </c>
      <c r="U895" s="459">
        <f t="shared" si="452"/>
        <v>13.8125</v>
      </c>
      <c r="V895" s="459">
        <f t="shared" si="453"/>
        <v>3.1875</v>
      </c>
      <c r="W895" s="459">
        <f t="shared" si="454"/>
        <v>188.34239596373587</v>
      </c>
      <c r="X895" s="459">
        <f t="shared" si="455"/>
        <v>0.91986518175206766</v>
      </c>
      <c r="AH895" s="17"/>
      <c r="AI895" s="17"/>
    </row>
    <row r="896" spans="1:35" x14ac:dyDescent="0.25">
      <c r="A896" s="21">
        <f>A$18</f>
        <v>1932</v>
      </c>
      <c r="B896" s="149">
        <f t="shared" si="442"/>
        <v>1.5772870662460567E-2</v>
      </c>
      <c r="C896" s="20">
        <f t="shared" si="444"/>
        <v>14</v>
      </c>
      <c r="D896" s="21">
        <f>AZ830</f>
        <v>10</v>
      </c>
      <c r="E896" s="22">
        <f t="shared" si="446"/>
        <v>246.66492069524676</v>
      </c>
      <c r="F896" s="21">
        <f t="shared" si="447"/>
        <v>2466.6492069524675</v>
      </c>
      <c r="G896" s="24">
        <f>'DDS Rates for Amend'!BA21</f>
        <v>375.57740309759572</v>
      </c>
      <c r="H896" s="33">
        <f t="shared" si="448"/>
        <v>926417.70349995163</v>
      </c>
      <c r="I896" s="688"/>
      <c r="J896" s="205"/>
      <c r="N896" s="453">
        <f t="shared" si="438"/>
        <v>1932</v>
      </c>
      <c r="O896" s="584">
        <f t="shared" si="443"/>
        <v>1.5772870662460567E-2</v>
      </c>
      <c r="P896" s="586">
        <f t="shared" si="445"/>
        <v>14</v>
      </c>
      <c r="Q896" s="453">
        <f t="shared" si="449"/>
        <v>17</v>
      </c>
      <c r="R896" s="451">
        <f t="shared" si="450"/>
        <v>192.48434311858392</v>
      </c>
      <c r="S896" s="453">
        <f t="shared" si="451"/>
        <v>3272.2338330159268</v>
      </c>
      <c r="T896" s="587">
        <v>14</v>
      </c>
      <c r="U896" s="459">
        <f t="shared" si="452"/>
        <v>13.8125</v>
      </c>
      <c r="V896" s="459">
        <f t="shared" si="453"/>
        <v>3.1875</v>
      </c>
      <c r="W896" s="459">
        <f t="shared" si="454"/>
        <v>191.54881775713272</v>
      </c>
      <c r="X896" s="459">
        <f t="shared" si="455"/>
        <v>0.93552536145119758</v>
      </c>
      <c r="AH896" s="17"/>
      <c r="AI896" s="17"/>
    </row>
    <row r="897" spans="1:35" x14ac:dyDescent="0.25">
      <c r="A897" s="21">
        <f>A$19</f>
        <v>1962</v>
      </c>
      <c r="B897" s="149">
        <f t="shared" si="442"/>
        <v>1.5527950310559006E-2</v>
      </c>
      <c r="C897" s="20">
        <f t="shared" si="444"/>
        <v>15</v>
      </c>
      <c r="D897" s="21">
        <f>BC830</f>
        <v>11</v>
      </c>
      <c r="E897" s="22">
        <f t="shared" si="446"/>
        <v>256.90994983277591</v>
      </c>
      <c r="F897" s="21">
        <f t="shared" si="447"/>
        <v>2826.0094481605352</v>
      </c>
      <c r="G897" s="24">
        <f>'DDS Rates for Amend'!BA22</f>
        <v>385.34241557813323</v>
      </c>
      <c r="H897" s="33">
        <f t="shared" si="448"/>
        <v>1088981.3072008078</v>
      </c>
      <c r="I897" s="689"/>
      <c r="J897" s="205"/>
      <c r="K897" s="285">
        <f>SUM(H883:H897)</f>
        <v>13068527.017255325</v>
      </c>
      <c r="L897" s="17">
        <f>IF(K897='Appendix J-2'!CD59,0,error)</f>
        <v>0</v>
      </c>
      <c r="N897" s="453">
        <f t="shared" si="438"/>
        <v>1962</v>
      </c>
      <c r="O897" s="584">
        <f t="shared" si="443"/>
        <v>1.5527950310559006E-2</v>
      </c>
      <c r="P897" s="586">
        <f t="shared" si="445"/>
        <v>15</v>
      </c>
      <c r="Q897" s="453">
        <f t="shared" si="449"/>
        <v>17</v>
      </c>
      <c r="R897" s="451">
        <f t="shared" si="450"/>
        <v>195.70642509167988</v>
      </c>
      <c r="S897" s="453">
        <f t="shared" si="451"/>
        <v>3327.0092265585581</v>
      </c>
      <c r="T897" s="587">
        <v>15</v>
      </c>
      <c r="U897" s="459">
        <f t="shared" si="452"/>
        <v>13.8125</v>
      </c>
      <c r="V897" s="459">
        <f t="shared" si="453"/>
        <v>3.1875</v>
      </c>
      <c r="W897" s="459">
        <f t="shared" si="454"/>
        <v>194.75523955052955</v>
      </c>
      <c r="X897" s="459">
        <f t="shared" si="455"/>
        <v>0.95118554115032738</v>
      </c>
      <c r="AH897" s="17"/>
      <c r="AI897" s="17"/>
    </row>
    <row r="898" spans="1:35" x14ac:dyDescent="0.25">
      <c r="C898"/>
      <c r="I898" s="568"/>
      <c r="J898"/>
      <c r="N898" s="446"/>
      <c r="O898" s="446"/>
      <c r="P898" s="446"/>
      <c r="Q898" s="466"/>
      <c r="R898" s="454"/>
      <c r="S898" s="446"/>
      <c r="T898" s="446"/>
      <c r="U898" s="446"/>
      <c r="V898" s="446"/>
      <c r="W898" s="446"/>
      <c r="X898" s="446"/>
      <c r="AH898" s="17"/>
      <c r="AI898" s="17"/>
    </row>
    <row r="899" spans="1:35" x14ac:dyDescent="0.25">
      <c r="A899" s="271" t="s">
        <v>112</v>
      </c>
      <c r="B899" s="272"/>
      <c r="C899" s="272"/>
      <c r="D899" s="292" t="str">
        <f>'Appendix J-2'!B60</f>
        <v>Assistance</v>
      </c>
      <c r="E899" s="223" t="str">
        <f>'Appendix J-2'!C60</f>
        <v>1 day</v>
      </c>
      <c r="F899" s="690"/>
      <c r="G899" s="690"/>
      <c r="H899" s="690"/>
      <c r="I899" s="687" t="s">
        <v>1109</v>
      </c>
      <c r="J899" s="205"/>
      <c r="N899" s="577" t="s">
        <v>567</v>
      </c>
      <c r="O899" s="578"/>
      <c r="P899" s="578"/>
      <c r="Q899" s="579"/>
      <c r="R899" s="447"/>
      <c r="S899" s="448"/>
      <c r="T899" s="446"/>
      <c r="U899" s="446"/>
      <c r="V899" s="446"/>
      <c r="W899" s="446"/>
      <c r="X899" s="446"/>
      <c r="AH899" s="17"/>
      <c r="AI899" s="17"/>
    </row>
    <row r="900" spans="1:35" ht="30" x14ac:dyDescent="0.25">
      <c r="A900" s="147" t="s">
        <v>26</v>
      </c>
      <c r="B900" s="147" t="s">
        <v>27</v>
      </c>
      <c r="C900" s="50" t="s">
        <v>166</v>
      </c>
      <c r="D900" s="91" t="s">
        <v>154</v>
      </c>
      <c r="E900" s="89" t="s">
        <v>155</v>
      </c>
      <c r="F900" s="34" t="s">
        <v>158</v>
      </c>
      <c r="G900" s="35" t="s">
        <v>156</v>
      </c>
      <c r="H900" s="51" t="s">
        <v>157</v>
      </c>
      <c r="I900" s="688"/>
      <c r="J900" s="205"/>
      <c r="N900" s="580" t="s">
        <v>26</v>
      </c>
      <c r="O900" s="580" t="s">
        <v>27</v>
      </c>
      <c r="P900" s="471" t="s">
        <v>166</v>
      </c>
      <c r="Q900" s="581" t="s">
        <v>154</v>
      </c>
      <c r="R900" s="449" t="s">
        <v>155</v>
      </c>
      <c r="S900" s="450" t="s">
        <v>158</v>
      </c>
      <c r="T900" s="446"/>
      <c r="U900" s="446"/>
      <c r="V900" s="446"/>
      <c r="W900" s="446"/>
      <c r="X900" s="446"/>
      <c r="AH900" s="17"/>
      <c r="AI900" s="17"/>
    </row>
    <row r="901" spans="1:35" ht="15" customHeight="1" x14ac:dyDescent="0.25">
      <c r="A901" s="21">
        <f>A$5</f>
        <v>1182</v>
      </c>
      <c r="B901" s="148"/>
      <c r="C901" s="144">
        <v>1</v>
      </c>
      <c r="D901" s="247">
        <f>'Appendix J-2'!D60</f>
        <v>67</v>
      </c>
      <c r="E901" s="22">
        <f>IF(F901=0,0,F901/D901)</f>
        <v>221.46268656716418</v>
      </c>
      <c r="F901" s="247">
        <f>'Appendix J-2'!F60</f>
        <v>14838</v>
      </c>
      <c r="G901" s="24">
        <f>H901/F901</f>
        <v>358.74558565844455</v>
      </c>
      <c r="H901" s="250">
        <f>'Appendix J-2'!H60</f>
        <v>5323067</v>
      </c>
      <c r="I901" s="688"/>
      <c r="J901" s="205"/>
      <c r="N901" s="453">
        <f>A901</f>
        <v>1182</v>
      </c>
      <c r="O901" s="582"/>
      <c r="P901" s="583">
        <v>1</v>
      </c>
      <c r="Q901" s="452">
        <f>D901+D1387</f>
        <v>67</v>
      </c>
      <c r="R901" s="451">
        <f>IF(S901=0,0,S901/Q901)</f>
        <v>221.46268656716418</v>
      </c>
      <c r="S901" s="452">
        <f>F901+F1387</f>
        <v>14838</v>
      </c>
      <c r="T901" s="446"/>
      <c r="U901" s="446"/>
      <c r="V901" s="446"/>
      <c r="W901" s="446"/>
      <c r="X901" s="446"/>
      <c r="AH901" s="17"/>
      <c r="AI901" s="17"/>
    </row>
    <row r="902" spans="1:35" x14ac:dyDescent="0.25">
      <c r="A902" s="21">
        <f>A$6</f>
        <v>1288</v>
      </c>
      <c r="B902" s="149">
        <f>(A902-A901)/A901</f>
        <v>8.9678510998307953E-2</v>
      </c>
      <c r="C902" s="52">
        <v>2</v>
      </c>
      <c r="D902" s="247">
        <f>'Appendix J-2'!I60</f>
        <v>49</v>
      </c>
      <c r="E902" s="22">
        <f t="shared" ref="E902:E909" si="456">IF(F902=0,0,F902/D902)</f>
        <v>285</v>
      </c>
      <c r="F902" s="247">
        <f>'Appendix J-2'!K60</f>
        <v>13965</v>
      </c>
      <c r="G902" s="24">
        <f t="shared" ref="G902:G909" si="457">H902/F902</f>
        <v>361.33404940923737</v>
      </c>
      <c r="H902" s="250">
        <f>'Appendix J-2'!M60</f>
        <v>5046030</v>
      </c>
      <c r="I902" s="688"/>
      <c r="J902" s="205"/>
      <c r="N902" s="453">
        <f t="shared" ref="N902:N915" si="458">A902</f>
        <v>1288</v>
      </c>
      <c r="O902" s="584">
        <f>(N902-N901)/N901</f>
        <v>8.9678510998307953E-2</v>
      </c>
      <c r="P902" s="585">
        <v>2</v>
      </c>
      <c r="Q902" s="452">
        <f t="shared" ref="Q902:Q909" si="459">D902+D1388</f>
        <v>49</v>
      </c>
      <c r="R902" s="451">
        <f t="shared" ref="R902:R909" si="460">IF(S902=0,0,S902/Q902)</f>
        <v>285</v>
      </c>
      <c r="S902" s="452">
        <f t="shared" ref="S902:S909" si="461">F902+F1388</f>
        <v>13965</v>
      </c>
      <c r="T902" s="446"/>
      <c r="U902" s="446"/>
      <c r="V902" s="446"/>
      <c r="W902" s="446"/>
      <c r="X902" s="446"/>
      <c r="AH902" s="17"/>
      <c r="AI902" s="17"/>
    </row>
    <row r="903" spans="1:35" x14ac:dyDescent="0.25">
      <c r="A903" s="21">
        <f>A$7</f>
        <v>1495</v>
      </c>
      <c r="B903" s="149">
        <f t="shared" ref="B903:B915" si="462">(A903-A902)/A902</f>
        <v>0.16071428571428573</v>
      </c>
      <c r="C903" s="52">
        <v>3</v>
      </c>
      <c r="D903" s="247">
        <f>'Appendix J-2'!N60</f>
        <v>64</v>
      </c>
      <c r="E903" s="22">
        <f t="shared" si="456"/>
        <v>248.609375</v>
      </c>
      <c r="F903" s="247">
        <f>'Appendix J-2'!P60</f>
        <v>15911</v>
      </c>
      <c r="G903" s="24">
        <f t="shared" si="457"/>
        <v>357.79496009050342</v>
      </c>
      <c r="H903" s="248">
        <f>'Appendix J-2'!R60</f>
        <v>5692875.6100000003</v>
      </c>
      <c r="I903" s="688"/>
      <c r="J903" s="205"/>
      <c r="N903" s="453">
        <f t="shared" si="458"/>
        <v>1495</v>
      </c>
      <c r="O903" s="584">
        <f t="shared" ref="O903:O915" si="463">(N903-N902)/N902</f>
        <v>0.16071428571428573</v>
      </c>
      <c r="P903" s="585">
        <v>3</v>
      </c>
      <c r="Q903" s="452">
        <f t="shared" si="459"/>
        <v>64</v>
      </c>
      <c r="R903" s="451">
        <f t="shared" si="460"/>
        <v>248.609375</v>
      </c>
      <c r="S903" s="452">
        <f t="shared" si="461"/>
        <v>15911</v>
      </c>
      <c r="T903" s="446"/>
      <c r="U903" s="446"/>
      <c r="V903" s="446"/>
      <c r="W903" s="446"/>
      <c r="X903" s="446"/>
      <c r="AH903" s="17"/>
      <c r="AI903" s="17"/>
    </row>
    <row r="904" spans="1:35" x14ac:dyDescent="0.25">
      <c r="A904" s="21">
        <f>A$8</f>
        <v>1484</v>
      </c>
      <c r="B904" s="149">
        <f t="shared" si="462"/>
        <v>-7.3578595317725752E-3</v>
      </c>
      <c r="C904" s="52">
        <f t="shared" ref="C904:C915" si="464">C903+1</f>
        <v>4</v>
      </c>
      <c r="D904" s="247">
        <f>'Appendix J-2'!S60</f>
        <v>72</v>
      </c>
      <c r="E904" s="22">
        <f t="shared" si="456"/>
        <v>229.93055555555554</v>
      </c>
      <c r="F904" s="247">
        <f>'Appendix J-2'!U60</f>
        <v>16555</v>
      </c>
      <c r="G904" s="24">
        <f t="shared" si="457"/>
        <v>357.30384778012689</v>
      </c>
      <c r="H904" s="248">
        <f>'Appendix J-2'!W60</f>
        <v>5915165.2000000002</v>
      </c>
      <c r="I904" s="688"/>
      <c r="J904" s="205"/>
      <c r="N904" s="453">
        <f t="shared" si="458"/>
        <v>1484</v>
      </c>
      <c r="O904" s="584">
        <f t="shared" si="463"/>
        <v>-7.3578595317725752E-3</v>
      </c>
      <c r="P904" s="585">
        <f t="shared" ref="P904:P915" si="465">P903+1</f>
        <v>4</v>
      </c>
      <c r="Q904" s="452">
        <f t="shared" si="459"/>
        <v>72</v>
      </c>
      <c r="R904" s="451">
        <f t="shared" si="460"/>
        <v>229.93055555555554</v>
      </c>
      <c r="S904" s="452">
        <f t="shared" si="461"/>
        <v>16555</v>
      </c>
      <c r="T904" s="446"/>
      <c r="U904" s="446"/>
      <c r="V904" s="446"/>
      <c r="W904" s="446"/>
      <c r="X904" s="446"/>
      <c r="AH904" s="17"/>
      <c r="AI904" s="17"/>
    </row>
    <row r="905" spans="1:35" x14ac:dyDescent="0.25">
      <c r="A905" s="21">
        <f>A$9</f>
        <v>1528</v>
      </c>
      <c r="B905" s="149">
        <f t="shared" si="462"/>
        <v>2.9649595687331536E-2</v>
      </c>
      <c r="C905" s="52">
        <f t="shared" si="464"/>
        <v>5</v>
      </c>
      <c r="D905" s="247">
        <f>'Appendix J-2'!X60</f>
        <v>74</v>
      </c>
      <c r="E905" s="22">
        <f t="shared" si="456"/>
        <v>291.10810810810813</v>
      </c>
      <c r="F905" s="247">
        <f>'Appendix J-2'!Z60</f>
        <v>21542</v>
      </c>
      <c r="G905" s="24">
        <f t="shared" si="457"/>
        <v>356.34884086900013</v>
      </c>
      <c r="H905" s="248">
        <f>'Appendix J-2'!AB60</f>
        <v>7676466.7300000004</v>
      </c>
      <c r="I905" s="688"/>
      <c r="J905" s="205"/>
      <c r="N905" s="453">
        <f t="shared" si="458"/>
        <v>1528</v>
      </c>
      <c r="O905" s="584">
        <f t="shared" si="463"/>
        <v>2.9649595687331536E-2</v>
      </c>
      <c r="P905" s="585">
        <f t="shared" si="465"/>
        <v>5</v>
      </c>
      <c r="Q905" s="452">
        <f t="shared" si="459"/>
        <v>74</v>
      </c>
      <c r="R905" s="451">
        <f t="shared" si="460"/>
        <v>291.10810810810813</v>
      </c>
      <c r="S905" s="452">
        <f t="shared" si="461"/>
        <v>21542</v>
      </c>
      <c r="T905" s="446"/>
      <c r="U905" s="446"/>
      <c r="V905" s="446"/>
      <c r="W905" s="446"/>
      <c r="X905" s="446"/>
      <c r="AH905" s="17"/>
      <c r="AI905" s="17"/>
    </row>
    <row r="906" spans="1:35" x14ac:dyDescent="0.25">
      <c r="A906" s="21">
        <f>A$10</f>
        <v>1592</v>
      </c>
      <c r="B906" s="149">
        <f t="shared" si="462"/>
        <v>4.1884816753926704E-2</v>
      </c>
      <c r="C906" s="52">
        <f t="shared" si="464"/>
        <v>6</v>
      </c>
      <c r="D906" s="249">
        <f>'Appendix J-2'!AC60</f>
        <v>127</v>
      </c>
      <c r="E906" s="22">
        <f t="shared" si="456"/>
        <v>168.09448818897638</v>
      </c>
      <c r="F906" s="249">
        <f>'Appendix J-2'!AE60</f>
        <v>21348</v>
      </c>
      <c r="G906" s="24">
        <f t="shared" si="457"/>
        <v>347.94088251826867</v>
      </c>
      <c r="H906" s="248">
        <f>'Appendix J-2'!AG60</f>
        <v>7427841.96</v>
      </c>
      <c r="I906" s="688"/>
      <c r="J906" s="205"/>
      <c r="N906" s="453">
        <f t="shared" si="458"/>
        <v>1592</v>
      </c>
      <c r="O906" s="584">
        <f t="shared" si="463"/>
        <v>4.1884816753926704E-2</v>
      </c>
      <c r="P906" s="585">
        <f t="shared" si="465"/>
        <v>6</v>
      </c>
      <c r="Q906" s="452">
        <f t="shared" si="459"/>
        <v>127</v>
      </c>
      <c r="R906" s="451">
        <f t="shared" si="460"/>
        <v>168.09448818897638</v>
      </c>
      <c r="S906" s="452">
        <f t="shared" si="461"/>
        <v>21348</v>
      </c>
      <c r="T906" s="446"/>
      <c r="U906" s="446"/>
      <c r="V906" s="446"/>
      <c r="W906" s="446"/>
      <c r="X906" s="446"/>
      <c r="AH906" s="17"/>
      <c r="AI906" s="17"/>
    </row>
    <row r="907" spans="1:35" x14ac:dyDescent="0.25">
      <c r="A907" s="21">
        <f>A$11</f>
        <v>1642</v>
      </c>
      <c r="B907" s="149">
        <f t="shared" si="462"/>
        <v>3.1407035175879394E-2</v>
      </c>
      <c r="C907" s="20">
        <f t="shared" si="464"/>
        <v>7</v>
      </c>
      <c r="D907" s="249">
        <f>'Appendix J-2'!AH60</f>
        <v>132</v>
      </c>
      <c r="E907" s="22">
        <f t="shared" si="456"/>
        <v>150.09848484848484</v>
      </c>
      <c r="F907" s="249">
        <f>'Appendix J-2'!AJ60</f>
        <v>19813</v>
      </c>
      <c r="G907" s="24">
        <f t="shared" si="457"/>
        <v>351.34970272043608</v>
      </c>
      <c r="H907" s="248">
        <f>'Appendix J-2'!AL60</f>
        <v>6961291.6600000001</v>
      </c>
      <c r="I907" s="688"/>
      <c r="J907" s="205"/>
      <c r="N907" s="453">
        <f t="shared" si="458"/>
        <v>1642</v>
      </c>
      <c r="O907" s="584">
        <f t="shared" si="463"/>
        <v>3.1407035175879394E-2</v>
      </c>
      <c r="P907" s="586">
        <f t="shared" si="465"/>
        <v>7</v>
      </c>
      <c r="Q907" s="452">
        <f t="shared" si="459"/>
        <v>138</v>
      </c>
      <c r="R907" s="451">
        <f t="shared" si="460"/>
        <v>150.3840579710145</v>
      </c>
      <c r="S907" s="452">
        <f t="shared" si="461"/>
        <v>20753</v>
      </c>
      <c r="T907" s="682" t="s">
        <v>610</v>
      </c>
      <c r="U907" s="683"/>
      <c r="V907" s="683"/>
      <c r="W907" s="683"/>
      <c r="X907" s="683"/>
      <c r="AH907" s="17"/>
      <c r="AI907" s="17"/>
    </row>
    <row r="908" spans="1:35" x14ac:dyDescent="0.25">
      <c r="A908" s="21">
        <f>A$12</f>
        <v>1675</v>
      </c>
      <c r="B908" s="149">
        <f t="shared" si="462"/>
        <v>2.0097442143727162E-2</v>
      </c>
      <c r="C908" s="20">
        <f t="shared" si="464"/>
        <v>8</v>
      </c>
      <c r="D908" s="249">
        <f>'Appendix J-2'!AM60</f>
        <v>67</v>
      </c>
      <c r="E908" s="22">
        <f t="shared" si="456"/>
        <v>292.41791044776119</v>
      </c>
      <c r="F908" s="249">
        <f>'Appendix J-2'!AO60</f>
        <v>19592</v>
      </c>
      <c r="G908" s="24">
        <f t="shared" si="457"/>
        <v>378.21249438546346</v>
      </c>
      <c r="H908" s="248">
        <f>'Appendix J-2'!AQ60</f>
        <v>7409939.1900000004</v>
      </c>
      <c r="I908" s="688"/>
      <c r="J908" s="205"/>
      <c r="N908" s="453">
        <f t="shared" si="458"/>
        <v>1675</v>
      </c>
      <c r="O908" s="584">
        <f t="shared" si="463"/>
        <v>2.0097442143727162E-2</v>
      </c>
      <c r="P908" s="586">
        <f t="shared" si="465"/>
        <v>8</v>
      </c>
      <c r="Q908" s="452">
        <f t="shared" si="459"/>
        <v>75</v>
      </c>
      <c r="R908" s="451">
        <f t="shared" si="460"/>
        <v>294.26666666666665</v>
      </c>
      <c r="S908" s="452">
        <f t="shared" si="461"/>
        <v>22070</v>
      </c>
      <c r="T908" s="587"/>
      <c r="U908" s="685" t="s">
        <v>154</v>
      </c>
      <c r="V908" s="685"/>
      <c r="W908" s="685" t="s">
        <v>609</v>
      </c>
      <c r="X908" s="685"/>
      <c r="AH908" s="17"/>
      <c r="AI908" s="17"/>
    </row>
    <row r="909" spans="1:35" x14ac:dyDescent="0.25">
      <c r="A909" s="21">
        <f>A$13</f>
        <v>1739</v>
      </c>
      <c r="B909" s="149">
        <f t="shared" si="462"/>
        <v>3.8208955223880597E-2</v>
      </c>
      <c r="C909" s="20">
        <f t="shared" si="464"/>
        <v>9</v>
      </c>
      <c r="D909" s="249">
        <f>'Appendix J-2'!AR60</f>
        <v>72</v>
      </c>
      <c r="E909" s="22">
        <f t="shared" si="456"/>
        <v>249.54166666666666</v>
      </c>
      <c r="F909" s="249">
        <f>'Appendix J-2'!AT60</f>
        <v>17967</v>
      </c>
      <c r="G909" s="24">
        <f t="shared" si="457"/>
        <v>377.35501419268661</v>
      </c>
      <c r="H909" s="248">
        <f>'Appendix J-2'!AV60</f>
        <v>6779937.54</v>
      </c>
      <c r="I909" s="688"/>
      <c r="J909" s="205"/>
      <c r="N909" s="453">
        <f t="shared" si="458"/>
        <v>1739</v>
      </c>
      <c r="O909" s="584">
        <f t="shared" si="463"/>
        <v>3.8208955223880597E-2</v>
      </c>
      <c r="P909" s="586">
        <f t="shared" si="465"/>
        <v>9</v>
      </c>
      <c r="Q909" s="452">
        <f t="shared" si="459"/>
        <v>91</v>
      </c>
      <c r="R909" s="451">
        <f t="shared" si="460"/>
        <v>236.07692307692307</v>
      </c>
      <c r="S909" s="452">
        <f t="shared" si="461"/>
        <v>21483</v>
      </c>
      <c r="T909" s="587"/>
      <c r="U909" s="458" t="s">
        <v>608</v>
      </c>
      <c r="V909" s="458" t="s">
        <v>578</v>
      </c>
      <c r="W909" s="458" t="s">
        <v>608</v>
      </c>
      <c r="X909" s="458" t="s">
        <v>578</v>
      </c>
      <c r="AH909" s="17"/>
      <c r="AI909" s="17"/>
    </row>
    <row r="910" spans="1:35" x14ac:dyDescent="0.25">
      <c r="A910" s="21">
        <f>A$14</f>
        <v>1752</v>
      </c>
      <c r="B910" s="149">
        <f t="shared" si="462"/>
        <v>7.4755606670500289E-3</v>
      </c>
      <c r="C910" s="20">
        <f t="shared" si="464"/>
        <v>10</v>
      </c>
      <c r="D910" s="21">
        <f>AN831</f>
        <v>51</v>
      </c>
      <c r="E910" s="22">
        <f>IF(TREND($E$901:$E$909,$C$901:$C$909,C910)&lt;365,TREND($E$901:$E$909,$C$901:$C$909,C910),365)</f>
        <v>227.00523649294223</v>
      </c>
      <c r="F910" s="21">
        <f>D910*E910</f>
        <v>11577.267061140054</v>
      </c>
      <c r="G910" s="24">
        <f>'DDS Rates for Amend'!BB17</f>
        <v>378.39</v>
      </c>
      <c r="H910" s="33">
        <f>F910*G910</f>
        <v>4380722.0832647849</v>
      </c>
      <c r="I910" s="688"/>
      <c r="J910" s="205"/>
      <c r="N910" s="453">
        <f t="shared" si="458"/>
        <v>1752</v>
      </c>
      <c r="O910" s="584">
        <f t="shared" si="463"/>
        <v>7.4755606670500289E-3</v>
      </c>
      <c r="P910" s="586">
        <f t="shared" si="465"/>
        <v>10</v>
      </c>
      <c r="Q910" s="453">
        <f>ROUND((TREND($Q$908:$Q$909,$N$908:$N$909,N910)),0)</f>
        <v>94</v>
      </c>
      <c r="R910" s="451">
        <f>IF(TREND($R$901:$R$909,$N$901:$N$909,N910)&lt;365,TREND($R$901:$R$909,$N$901:$N$909,N910),365)</f>
        <v>224.83284915825178</v>
      </c>
      <c r="S910" s="453">
        <f>Q910*R910</f>
        <v>21134.287820875667</v>
      </c>
      <c r="T910" s="587">
        <v>10</v>
      </c>
      <c r="U910" s="459">
        <f>Q910*$AB$831</f>
        <v>74.373626373626365</v>
      </c>
      <c r="V910" s="459">
        <f>Q910*$AC$831</f>
        <v>19.626373626373628</v>
      </c>
      <c r="W910" s="459">
        <f>R910*$AF$832</f>
        <v>130.61729849837511</v>
      </c>
      <c r="X910" s="459">
        <f>R910*$AG$832</f>
        <v>94.215550659876655</v>
      </c>
      <c r="AH910" s="17"/>
      <c r="AI910" s="17"/>
    </row>
    <row r="911" spans="1:35" x14ac:dyDescent="0.25">
      <c r="A911" s="21">
        <f>A$15</f>
        <v>1822</v>
      </c>
      <c r="B911" s="149">
        <f t="shared" si="462"/>
        <v>3.9954337899543377E-2</v>
      </c>
      <c r="C911" s="20">
        <f t="shared" si="464"/>
        <v>11</v>
      </c>
      <c r="D911" s="21">
        <f>AQ831</f>
        <v>52</v>
      </c>
      <c r="E911" s="22">
        <f t="shared" ref="E911:E915" si="466">IF(TREND($E$901:$E$909,$C$901:$C$909,C911)&lt;365,TREND($E$901:$E$909,$C$901:$C$909,C911),365)</f>
        <v>224.93376656080363</v>
      </c>
      <c r="F911" s="21">
        <f t="shared" ref="F911:F915" si="467">D911*E911</f>
        <v>11696.555861161789</v>
      </c>
      <c r="G911" s="24">
        <f>'DDS Rates for Amend'!BB18</f>
        <v>388.22814</v>
      </c>
      <c r="H911" s="33">
        <f t="shared" ref="H911:H915" si="468">F911*G911</f>
        <v>4540932.1263849391</v>
      </c>
      <c r="I911" s="688"/>
      <c r="J911" s="205"/>
      <c r="N911" s="453">
        <f t="shared" si="458"/>
        <v>1822</v>
      </c>
      <c r="O911" s="584">
        <f t="shared" si="463"/>
        <v>3.9954337899543377E-2</v>
      </c>
      <c r="P911" s="586">
        <f t="shared" si="465"/>
        <v>11</v>
      </c>
      <c r="Q911" s="453">
        <f t="shared" ref="Q911:Q915" si="469">ROUND((TREND($Q$908:$Q$909,$N$908:$N$909,N911)),0)</f>
        <v>112</v>
      </c>
      <c r="R911" s="451">
        <f t="shared" ref="R911:R915" si="470">IF(TREND($R$901:$R$909,$N$901:$N$909,N911)&lt;365,TREND($R$901:$R$909,$N$901:$N$909,N911),365)</f>
        <v>221.51945424004833</v>
      </c>
      <c r="S911" s="453">
        <f t="shared" ref="S911:S915" si="471">Q911*R911</f>
        <v>24810.178874885412</v>
      </c>
      <c r="T911" s="587">
        <v>11</v>
      </c>
      <c r="U911" s="459">
        <f t="shared" ref="U911:U915" si="472">Q911*$AB$831</f>
        <v>88.615384615384613</v>
      </c>
      <c r="V911" s="459">
        <f t="shared" ref="V911:V915" si="473">Q911*$AC$832</f>
        <v>44</v>
      </c>
      <c r="W911" s="459">
        <f t="shared" ref="W911:W915" si="474">R911*$AF$832</f>
        <v>128.69237207105687</v>
      </c>
      <c r="X911" s="459">
        <f t="shared" ref="X911:X915" si="475">R911*$AG$832</f>
        <v>92.827082168991467</v>
      </c>
      <c r="AH911" s="17"/>
      <c r="AI911" s="17"/>
    </row>
    <row r="912" spans="1:35" x14ac:dyDescent="0.25">
      <c r="A912" s="21">
        <f>A$16</f>
        <v>1872</v>
      </c>
      <c r="B912" s="149">
        <f t="shared" si="462"/>
        <v>2.7442371020856202E-2</v>
      </c>
      <c r="C912" s="20">
        <f t="shared" si="464"/>
        <v>12</v>
      </c>
      <c r="D912" s="21">
        <f>AT831</f>
        <v>54</v>
      </c>
      <c r="E912" s="22">
        <f t="shared" si="466"/>
        <v>222.86229662866504</v>
      </c>
      <c r="F912" s="21">
        <f t="shared" si="467"/>
        <v>12034.564017947912</v>
      </c>
      <c r="G912" s="24">
        <f>'DDS Rates for Amend'!BB19</f>
        <v>398.32207163999999</v>
      </c>
      <c r="H912" s="33">
        <f t="shared" si="468"/>
        <v>4793632.4709132146</v>
      </c>
      <c r="I912" s="688"/>
      <c r="J912" s="205"/>
      <c r="N912" s="453">
        <f t="shared" si="458"/>
        <v>1872</v>
      </c>
      <c r="O912" s="584">
        <f t="shared" si="463"/>
        <v>2.7442371020856202E-2</v>
      </c>
      <c r="P912" s="586">
        <f t="shared" si="465"/>
        <v>12</v>
      </c>
      <c r="Q912" s="453">
        <f t="shared" si="469"/>
        <v>124</v>
      </c>
      <c r="R912" s="451">
        <f t="shared" si="470"/>
        <v>219.15274358418873</v>
      </c>
      <c r="S912" s="453">
        <f t="shared" si="471"/>
        <v>27174.940204439401</v>
      </c>
      <c r="T912" s="587">
        <v>12</v>
      </c>
      <c r="U912" s="459">
        <f t="shared" si="472"/>
        <v>98.109890109890102</v>
      </c>
      <c r="V912" s="459">
        <f t="shared" si="473"/>
        <v>48.714285714285715</v>
      </c>
      <c r="W912" s="459">
        <f t="shared" si="474"/>
        <v>127.31742462297238</v>
      </c>
      <c r="X912" s="459">
        <f t="shared" si="475"/>
        <v>91.835318961216331</v>
      </c>
      <c r="AH912" s="17"/>
      <c r="AI912" s="17"/>
    </row>
    <row r="913" spans="1:35" x14ac:dyDescent="0.25">
      <c r="A913" s="21">
        <f>A$17</f>
        <v>1902</v>
      </c>
      <c r="B913" s="149">
        <f t="shared" si="462"/>
        <v>1.6025641025641024E-2</v>
      </c>
      <c r="C913" s="20">
        <f t="shared" si="464"/>
        <v>13</v>
      </c>
      <c r="D913" s="21">
        <f>AW831</f>
        <v>55</v>
      </c>
      <c r="E913" s="22">
        <f t="shared" si="466"/>
        <v>220.79082669652641</v>
      </c>
      <c r="F913" s="21">
        <f t="shared" si="467"/>
        <v>12143.495468308953</v>
      </c>
      <c r="G913" s="24">
        <f>'DDS Rates for Amend'!BB20</f>
        <v>408.67844550263999</v>
      </c>
      <c r="H913" s="33">
        <f t="shared" si="468"/>
        <v>4962784.8509568563</v>
      </c>
      <c r="I913" s="688"/>
      <c r="J913" s="205"/>
      <c r="N913" s="453">
        <f t="shared" si="458"/>
        <v>1902</v>
      </c>
      <c r="O913" s="584">
        <f t="shared" si="463"/>
        <v>1.6025641025641024E-2</v>
      </c>
      <c r="P913" s="586">
        <f t="shared" si="465"/>
        <v>13</v>
      </c>
      <c r="Q913" s="453">
        <f t="shared" si="469"/>
        <v>132</v>
      </c>
      <c r="R913" s="451">
        <f t="shared" si="470"/>
        <v>217.73271719067299</v>
      </c>
      <c r="S913" s="453">
        <f t="shared" si="471"/>
        <v>28740.718669168833</v>
      </c>
      <c r="T913" s="587">
        <v>13</v>
      </c>
      <c r="U913" s="459">
        <f t="shared" si="472"/>
        <v>104.43956043956044</v>
      </c>
      <c r="V913" s="459">
        <f t="shared" si="473"/>
        <v>51.857142857142854</v>
      </c>
      <c r="W913" s="459">
        <f t="shared" si="474"/>
        <v>126.49245615412171</v>
      </c>
      <c r="X913" s="459">
        <f t="shared" si="475"/>
        <v>91.24026103655126</v>
      </c>
      <c r="AH913" s="17"/>
      <c r="AI913" s="17"/>
    </row>
    <row r="914" spans="1:35" x14ac:dyDescent="0.25">
      <c r="A914" s="21">
        <f>A$18</f>
        <v>1932</v>
      </c>
      <c r="B914" s="149">
        <f t="shared" si="462"/>
        <v>1.5772870662460567E-2</v>
      </c>
      <c r="C914" s="20">
        <f t="shared" si="464"/>
        <v>14</v>
      </c>
      <c r="D914" s="21">
        <f>AZ831</f>
        <v>55</v>
      </c>
      <c r="E914" s="22">
        <f t="shared" si="466"/>
        <v>218.71935676438781</v>
      </c>
      <c r="F914" s="21">
        <f t="shared" si="467"/>
        <v>12029.564622041329</v>
      </c>
      <c r="G914" s="24">
        <f>'DDS Rates for Amend'!BB21</f>
        <v>419.30408508570861</v>
      </c>
      <c r="H914" s="33">
        <f t="shared" si="468"/>
        <v>5044045.587824448</v>
      </c>
      <c r="I914" s="688"/>
      <c r="J914" s="205"/>
      <c r="N914" s="453">
        <f t="shared" si="458"/>
        <v>1932</v>
      </c>
      <c r="O914" s="584">
        <f t="shared" si="463"/>
        <v>1.5772870662460567E-2</v>
      </c>
      <c r="P914" s="586">
        <f t="shared" si="465"/>
        <v>14</v>
      </c>
      <c r="Q914" s="453">
        <f t="shared" si="469"/>
        <v>139</v>
      </c>
      <c r="R914" s="451">
        <f t="shared" si="470"/>
        <v>216.31269079715722</v>
      </c>
      <c r="S914" s="453">
        <f t="shared" si="471"/>
        <v>30067.464020804851</v>
      </c>
      <c r="T914" s="587">
        <v>14</v>
      </c>
      <c r="U914" s="459">
        <f t="shared" si="472"/>
        <v>109.97802197802197</v>
      </c>
      <c r="V914" s="459">
        <f t="shared" si="473"/>
        <v>54.607142857142854</v>
      </c>
      <c r="W914" s="459">
        <f t="shared" si="474"/>
        <v>125.66748768527103</v>
      </c>
      <c r="X914" s="459">
        <f t="shared" si="475"/>
        <v>90.645203111886175</v>
      </c>
      <c r="AH914" s="17"/>
      <c r="AI914" s="17"/>
    </row>
    <row r="915" spans="1:35" x14ac:dyDescent="0.25">
      <c r="A915" s="21">
        <f>A$19</f>
        <v>1962</v>
      </c>
      <c r="B915" s="149">
        <f t="shared" si="462"/>
        <v>1.5527950310559006E-2</v>
      </c>
      <c r="C915" s="20">
        <f t="shared" si="464"/>
        <v>15</v>
      </c>
      <c r="D915" s="21">
        <f>BC831</f>
        <v>56</v>
      </c>
      <c r="E915" s="22">
        <f t="shared" si="466"/>
        <v>216.64788683224921</v>
      </c>
      <c r="F915" s="21">
        <f t="shared" si="467"/>
        <v>12132.281662605956</v>
      </c>
      <c r="G915" s="24">
        <f>'DDS Rates for Amend'!BB22</f>
        <v>430.20599129793703</v>
      </c>
      <c r="H915" s="33">
        <f t="shared" si="468"/>
        <v>5219380.2593671791</v>
      </c>
      <c r="I915" s="689"/>
      <c r="J915" s="205"/>
      <c r="K915" s="285">
        <f>SUM(H901:H915)</f>
        <v>87174112.268711418</v>
      </c>
      <c r="L915" s="17">
        <f>IF(K915='Appendix J-2'!CD60,0,error)</f>
        <v>0</v>
      </c>
      <c r="N915" s="453">
        <f t="shared" si="458"/>
        <v>1962</v>
      </c>
      <c r="O915" s="584">
        <f t="shared" si="463"/>
        <v>1.5527950310559006E-2</v>
      </c>
      <c r="P915" s="586">
        <f t="shared" si="465"/>
        <v>15</v>
      </c>
      <c r="Q915" s="453">
        <f t="shared" si="469"/>
        <v>147</v>
      </c>
      <c r="R915" s="451">
        <f t="shared" si="470"/>
        <v>214.89266440364145</v>
      </c>
      <c r="S915" s="453">
        <f t="shared" si="471"/>
        <v>31589.221667335292</v>
      </c>
      <c r="T915" s="587">
        <v>15</v>
      </c>
      <c r="U915" s="459">
        <f t="shared" si="472"/>
        <v>116.30769230769231</v>
      </c>
      <c r="V915" s="459">
        <f t="shared" si="473"/>
        <v>57.75</v>
      </c>
      <c r="W915" s="459">
        <f t="shared" si="474"/>
        <v>124.84251921642034</v>
      </c>
      <c r="X915" s="459">
        <f t="shared" si="475"/>
        <v>90.050145187221091</v>
      </c>
      <c r="AH915" s="17"/>
      <c r="AI915" s="17"/>
    </row>
    <row r="916" spans="1:35" x14ac:dyDescent="0.25">
      <c r="C916"/>
      <c r="I916" s="568"/>
      <c r="J916"/>
      <c r="N916" s="446"/>
      <c r="O916" s="446"/>
      <c r="P916" s="446"/>
      <c r="Q916" s="466"/>
      <c r="R916" s="454"/>
      <c r="S916" s="446"/>
      <c r="T916" s="446"/>
      <c r="U916" s="446"/>
      <c r="V916" s="446"/>
      <c r="W916" s="446"/>
      <c r="X916" s="446"/>
      <c r="AH916" s="17"/>
      <c r="AI916" s="17"/>
    </row>
    <row r="917" spans="1:35" x14ac:dyDescent="0.25">
      <c r="A917" s="271" t="s">
        <v>113</v>
      </c>
      <c r="B917" s="272"/>
      <c r="C917" s="272"/>
      <c r="D917" s="292" t="str">
        <f>'Appendix J-2'!B61</f>
        <v>Assistance</v>
      </c>
      <c r="E917" s="223" t="str">
        <f>'Appendix J-2'!C61</f>
        <v>1 day</v>
      </c>
      <c r="F917" s="690"/>
      <c r="G917" s="690"/>
      <c r="H917" s="690"/>
      <c r="I917" s="687" t="s">
        <v>1109</v>
      </c>
      <c r="J917" s="205"/>
      <c r="N917" s="577" t="s">
        <v>568</v>
      </c>
      <c r="O917" s="578"/>
      <c r="P917" s="578"/>
      <c r="Q917" s="579"/>
      <c r="R917" s="447"/>
      <c r="S917" s="448"/>
      <c r="T917" s="446"/>
      <c r="U917" s="446"/>
      <c r="V917" s="446"/>
      <c r="W917" s="446"/>
      <c r="X917" s="446"/>
      <c r="AH917" s="17"/>
      <c r="AI917" s="17"/>
    </row>
    <row r="918" spans="1:35" ht="30" x14ac:dyDescent="0.25">
      <c r="A918" s="147" t="s">
        <v>26</v>
      </c>
      <c r="B918" s="147" t="s">
        <v>27</v>
      </c>
      <c r="C918" s="50" t="s">
        <v>166</v>
      </c>
      <c r="D918" s="91" t="s">
        <v>154</v>
      </c>
      <c r="E918" s="89" t="s">
        <v>155</v>
      </c>
      <c r="F918" s="34" t="s">
        <v>158</v>
      </c>
      <c r="G918" s="35" t="s">
        <v>156</v>
      </c>
      <c r="H918" s="51" t="s">
        <v>157</v>
      </c>
      <c r="I918" s="688"/>
      <c r="J918" s="205"/>
      <c r="N918" s="580" t="s">
        <v>26</v>
      </c>
      <c r="O918" s="580" t="s">
        <v>27</v>
      </c>
      <c r="P918" s="471" t="s">
        <v>166</v>
      </c>
      <c r="Q918" s="581" t="s">
        <v>154</v>
      </c>
      <c r="R918" s="449" t="s">
        <v>155</v>
      </c>
      <c r="S918" s="450" t="s">
        <v>158</v>
      </c>
      <c r="T918" s="446"/>
      <c r="U918" s="446"/>
      <c r="V918" s="446"/>
      <c r="W918" s="446"/>
      <c r="X918" s="446"/>
      <c r="AH918" s="17"/>
      <c r="AI918" s="17"/>
    </row>
    <row r="919" spans="1:35" ht="15" customHeight="1" x14ac:dyDescent="0.25">
      <c r="A919" s="21">
        <f>A$5</f>
        <v>1182</v>
      </c>
      <c r="B919" s="148"/>
      <c r="C919" s="144">
        <v>1</v>
      </c>
      <c r="D919" s="247">
        <f>'Appendix J-2'!D61</f>
        <v>28</v>
      </c>
      <c r="E919" s="22">
        <f>IF(F919=0,0,F919/D919)</f>
        <v>85.321428571428569</v>
      </c>
      <c r="F919" s="247">
        <f>'Appendix J-2'!F61</f>
        <v>2389</v>
      </c>
      <c r="G919" s="24">
        <f>H919/F919</f>
        <v>439.61488070322321</v>
      </c>
      <c r="H919" s="250">
        <f>'Appendix J-2'!H61</f>
        <v>1050239.9500000002</v>
      </c>
      <c r="I919" s="688"/>
      <c r="J919" s="205"/>
      <c r="N919" s="453">
        <f>A919</f>
        <v>1182</v>
      </c>
      <c r="O919" s="582"/>
      <c r="P919" s="583">
        <v>1</v>
      </c>
      <c r="Q919" s="452">
        <f>D919+D1405</f>
        <v>28</v>
      </c>
      <c r="R919" s="451">
        <f>IF(S919=0,0,S919/Q919)</f>
        <v>85.321428571428569</v>
      </c>
      <c r="S919" s="452">
        <f>F919+F1405</f>
        <v>2389</v>
      </c>
      <c r="T919" s="446"/>
      <c r="U919" s="446"/>
      <c r="V919" s="446"/>
      <c r="W919" s="446"/>
      <c r="X919" s="446"/>
      <c r="AH919" s="17"/>
      <c r="AI919" s="17"/>
    </row>
    <row r="920" spans="1:35" x14ac:dyDescent="0.25">
      <c r="A920" s="21">
        <f>A$6</f>
        <v>1288</v>
      </c>
      <c r="B920" s="149">
        <f>(A920-A919)/A919</f>
        <v>8.9678510998307953E-2</v>
      </c>
      <c r="C920" s="52">
        <v>2</v>
      </c>
      <c r="D920" s="247">
        <f>'Appendix J-2'!I61</f>
        <v>18</v>
      </c>
      <c r="E920" s="22">
        <f t="shared" ref="E920:E927" si="476">IF(F920=0,0,F920/D920)</f>
        <v>148.61111111111111</v>
      </c>
      <c r="F920" s="247">
        <f>'Appendix J-2'!K61</f>
        <v>2675</v>
      </c>
      <c r="G920" s="24">
        <f t="shared" ref="G920:G927" si="477">H920/F920</f>
        <v>449.47768224299068</v>
      </c>
      <c r="H920" s="250">
        <f>'Appendix J-2'!M61</f>
        <v>1202352.8</v>
      </c>
      <c r="I920" s="688"/>
      <c r="J920" s="205"/>
      <c r="N920" s="453">
        <f t="shared" ref="N920:N933" si="478">A920</f>
        <v>1288</v>
      </c>
      <c r="O920" s="584">
        <f>(N920-N919)/N919</f>
        <v>8.9678510998307953E-2</v>
      </c>
      <c r="P920" s="585">
        <v>2</v>
      </c>
      <c r="Q920" s="452">
        <f t="shared" ref="Q920:Q927" si="479">D920+D1406</f>
        <v>18</v>
      </c>
      <c r="R920" s="451">
        <f t="shared" ref="R920:R927" si="480">IF(S920=0,0,S920/Q920)</f>
        <v>148.61111111111111</v>
      </c>
      <c r="S920" s="452">
        <f t="shared" ref="S920:S927" si="481">F920+F1406</f>
        <v>2675</v>
      </c>
      <c r="T920" s="446"/>
      <c r="U920" s="446"/>
      <c r="V920" s="446"/>
      <c r="W920" s="446"/>
      <c r="X920" s="446"/>
      <c r="AH920" s="17"/>
      <c r="AI920" s="17"/>
    </row>
    <row r="921" spans="1:35" x14ac:dyDescent="0.25">
      <c r="A921" s="21">
        <f>A$7</f>
        <v>1495</v>
      </c>
      <c r="B921" s="149">
        <f t="shared" ref="B921:B933" si="482">(A921-A920)/A920</f>
        <v>0.16071428571428573</v>
      </c>
      <c r="C921" s="52">
        <v>3</v>
      </c>
      <c r="D921" s="247">
        <f>'Appendix J-2'!N61</f>
        <v>59</v>
      </c>
      <c r="E921" s="22">
        <f t="shared" si="476"/>
        <v>206.71186440677965</v>
      </c>
      <c r="F921" s="247">
        <f>'Appendix J-2'!P61</f>
        <v>12196</v>
      </c>
      <c r="G921" s="24">
        <f t="shared" si="477"/>
        <v>443.04303050180386</v>
      </c>
      <c r="H921" s="248">
        <f>'Appendix J-2'!R61</f>
        <v>5403352.7999999998</v>
      </c>
      <c r="I921" s="688"/>
      <c r="J921" s="205"/>
      <c r="N921" s="453">
        <f t="shared" si="478"/>
        <v>1495</v>
      </c>
      <c r="O921" s="584">
        <f t="shared" ref="O921:O933" si="483">(N921-N920)/N920</f>
        <v>0.16071428571428573</v>
      </c>
      <c r="P921" s="585">
        <v>3</v>
      </c>
      <c r="Q921" s="452">
        <f t="shared" si="479"/>
        <v>59</v>
      </c>
      <c r="R921" s="451">
        <f t="shared" si="480"/>
        <v>206.71186440677965</v>
      </c>
      <c r="S921" s="452">
        <f t="shared" si="481"/>
        <v>12196</v>
      </c>
      <c r="T921" s="446"/>
      <c r="U921" s="446"/>
      <c r="V921" s="446"/>
      <c r="W921" s="446"/>
      <c r="X921" s="446"/>
      <c r="AH921" s="17"/>
      <c r="AI921" s="17"/>
    </row>
    <row r="922" spans="1:35" x14ac:dyDescent="0.25">
      <c r="A922" s="21">
        <f>A$8</f>
        <v>1484</v>
      </c>
      <c r="B922" s="149">
        <f t="shared" si="482"/>
        <v>-7.3578595317725752E-3</v>
      </c>
      <c r="C922" s="52">
        <f t="shared" ref="C922:C933" si="484">C921+1</f>
        <v>4</v>
      </c>
      <c r="D922" s="247">
        <f>'Appendix J-2'!S61</f>
        <v>72</v>
      </c>
      <c r="E922" s="22">
        <f t="shared" si="476"/>
        <v>212.40277777777777</v>
      </c>
      <c r="F922" s="247">
        <f>'Appendix J-2'!U61</f>
        <v>15293</v>
      </c>
      <c r="G922" s="24">
        <f t="shared" si="477"/>
        <v>449.96119531811939</v>
      </c>
      <c r="H922" s="248">
        <f>'Appendix J-2'!W61</f>
        <v>6881256.5599999996</v>
      </c>
      <c r="I922" s="688"/>
      <c r="J922" s="205"/>
      <c r="N922" s="453">
        <f t="shared" si="478"/>
        <v>1484</v>
      </c>
      <c r="O922" s="584">
        <f t="shared" si="483"/>
        <v>-7.3578595317725752E-3</v>
      </c>
      <c r="P922" s="585">
        <f t="shared" ref="P922:P933" si="485">P921+1</f>
        <v>4</v>
      </c>
      <c r="Q922" s="452">
        <f t="shared" si="479"/>
        <v>72</v>
      </c>
      <c r="R922" s="451">
        <f t="shared" si="480"/>
        <v>212.40277777777777</v>
      </c>
      <c r="S922" s="452">
        <f t="shared" si="481"/>
        <v>15293</v>
      </c>
      <c r="T922" s="446"/>
      <c r="U922" s="446"/>
      <c r="V922" s="446"/>
      <c r="W922" s="446"/>
      <c r="X922" s="446"/>
      <c r="AH922" s="17"/>
      <c r="AI922" s="17"/>
    </row>
    <row r="923" spans="1:35" x14ac:dyDescent="0.25">
      <c r="A923" s="21">
        <f>A$9</f>
        <v>1528</v>
      </c>
      <c r="B923" s="149">
        <f t="shared" si="482"/>
        <v>2.9649595687331536E-2</v>
      </c>
      <c r="C923" s="52">
        <f t="shared" si="484"/>
        <v>5</v>
      </c>
      <c r="D923" s="247">
        <f>'Appendix J-2'!X61</f>
        <v>109</v>
      </c>
      <c r="E923" s="22">
        <f t="shared" si="476"/>
        <v>215.85321100917432</v>
      </c>
      <c r="F923" s="247">
        <f>'Appendix J-2'!Z61</f>
        <v>23528</v>
      </c>
      <c r="G923" s="24">
        <f t="shared" si="477"/>
        <v>449.89347840870454</v>
      </c>
      <c r="H923" s="248">
        <f>'Appendix J-2'!AB61</f>
        <v>10585093.76</v>
      </c>
      <c r="I923" s="688"/>
      <c r="J923" s="205"/>
      <c r="N923" s="453">
        <f t="shared" si="478"/>
        <v>1528</v>
      </c>
      <c r="O923" s="584">
        <f t="shared" si="483"/>
        <v>2.9649595687331536E-2</v>
      </c>
      <c r="P923" s="585">
        <f t="shared" si="485"/>
        <v>5</v>
      </c>
      <c r="Q923" s="452">
        <f t="shared" si="479"/>
        <v>109</v>
      </c>
      <c r="R923" s="451">
        <f t="shared" si="480"/>
        <v>215.85321100917432</v>
      </c>
      <c r="S923" s="452">
        <f t="shared" si="481"/>
        <v>23528</v>
      </c>
      <c r="T923" s="446"/>
      <c r="U923" s="446"/>
      <c r="V923" s="446"/>
      <c r="W923" s="446"/>
      <c r="X923" s="446"/>
      <c r="AH923" s="17"/>
      <c r="AI923" s="17"/>
    </row>
    <row r="924" spans="1:35" x14ac:dyDescent="0.25">
      <c r="A924" s="21">
        <f>A$10</f>
        <v>1592</v>
      </c>
      <c r="B924" s="149">
        <f t="shared" si="482"/>
        <v>4.1884816753926704E-2</v>
      </c>
      <c r="C924" s="52">
        <f t="shared" si="484"/>
        <v>6</v>
      </c>
      <c r="D924" s="249">
        <f>'Appendix J-2'!AC61</f>
        <v>176</v>
      </c>
      <c r="E924" s="22">
        <f t="shared" si="476"/>
        <v>158.74431818181819</v>
      </c>
      <c r="F924" s="249">
        <f>'Appendix J-2'!AE61</f>
        <v>27939</v>
      </c>
      <c r="G924" s="24">
        <f t="shared" si="477"/>
        <v>402.68647983106052</v>
      </c>
      <c r="H924" s="248">
        <f>'Appendix J-2'!AG61</f>
        <v>11250657.560000001</v>
      </c>
      <c r="I924" s="688"/>
      <c r="J924" s="205"/>
      <c r="N924" s="453">
        <f t="shared" si="478"/>
        <v>1592</v>
      </c>
      <c r="O924" s="584">
        <f t="shared" si="483"/>
        <v>4.1884816753926704E-2</v>
      </c>
      <c r="P924" s="585">
        <f t="shared" si="485"/>
        <v>6</v>
      </c>
      <c r="Q924" s="452">
        <f t="shared" si="479"/>
        <v>176</v>
      </c>
      <c r="R924" s="451">
        <f t="shared" si="480"/>
        <v>158.74431818181819</v>
      </c>
      <c r="S924" s="452">
        <f t="shared" si="481"/>
        <v>27939</v>
      </c>
      <c r="T924" s="446"/>
      <c r="U924" s="446"/>
      <c r="V924" s="446"/>
      <c r="W924" s="446"/>
      <c r="X924" s="446"/>
      <c r="AH924" s="17"/>
      <c r="AI924" s="17"/>
    </row>
    <row r="925" spans="1:35" x14ac:dyDescent="0.25">
      <c r="A925" s="21">
        <f>A$11</f>
        <v>1642</v>
      </c>
      <c r="B925" s="149">
        <f t="shared" si="482"/>
        <v>3.1407035175879394E-2</v>
      </c>
      <c r="C925" s="20">
        <f t="shared" si="484"/>
        <v>7</v>
      </c>
      <c r="D925" s="249">
        <f>'Appendix J-2'!AH61</f>
        <v>203</v>
      </c>
      <c r="E925" s="22">
        <f t="shared" si="476"/>
        <v>147.35467980295567</v>
      </c>
      <c r="F925" s="249">
        <f>'Appendix J-2'!AJ61</f>
        <v>29913</v>
      </c>
      <c r="G925" s="24">
        <f t="shared" si="477"/>
        <v>406.03166516230397</v>
      </c>
      <c r="H925" s="248">
        <f>'Appendix J-2'!AL61</f>
        <v>12145625.199999999</v>
      </c>
      <c r="I925" s="688"/>
      <c r="J925" s="205"/>
      <c r="N925" s="453">
        <f t="shared" si="478"/>
        <v>1642</v>
      </c>
      <c r="O925" s="584">
        <f t="shared" si="483"/>
        <v>3.1407035175879394E-2</v>
      </c>
      <c r="P925" s="586">
        <f t="shared" si="485"/>
        <v>7</v>
      </c>
      <c r="Q925" s="452">
        <f t="shared" si="479"/>
        <v>234</v>
      </c>
      <c r="R925" s="451">
        <f t="shared" si="480"/>
        <v>142.36752136752136</v>
      </c>
      <c r="S925" s="452">
        <f t="shared" si="481"/>
        <v>33314</v>
      </c>
      <c r="T925" s="682" t="s">
        <v>610</v>
      </c>
      <c r="U925" s="683"/>
      <c r="V925" s="683"/>
      <c r="W925" s="683"/>
      <c r="X925" s="683"/>
      <c r="AH925" s="17"/>
      <c r="AI925" s="17"/>
    </row>
    <row r="926" spans="1:35" x14ac:dyDescent="0.25">
      <c r="A926" s="21">
        <f>A$12</f>
        <v>1675</v>
      </c>
      <c r="B926" s="149">
        <f t="shared" si="482"/>
        <v>2.0097442143727162E-2</v>
      </c>
      <c r="C926" s="20">
        <f t="shared" si="484"/>
        <v>8</v>
      </c>
      <c r="D926" s="249">
        <f>'Appendix J-2'!AM61</f>
        <v>85</v>
      </c>
      <c r="E926" s="22">
        <f t="shared" si="476"/>
        <v>273.42352941176472</v>
      </c>
      <c r="F926" s="249">
        <f>'Appendix J-2'!AO61</f>
        <v>23241</v>
      </c>
      <c r="G926" s="24">
        <f t="shared" si="477"/>
        <v>438.50432339400197</v>
      </c>
      <c r="H926" s="248">
        <f>'Appendix J-2'!AQ61</f>
        <v>10191278.98</v>
      </c>
      <c r="I926" s="688"/>
      <c r="J926" s="205"/>
      <c r="N926" s="453">
        <f t="shared" si="478"/>
        <v>1675</v>
      </c>
      <c r="O926" s="584">
        <f t="shared" si="483"/>
        <v>2.0097442143727162E-2</v>
      </c>
      <c r="P926" s="586">
        <f t="shared" si="485"/>
        <v>8</v>
      </c>
      <c r="Q926" s="452">
        <f t="shared" si="479"/>
        <v>127</v>
      </c>
      <c r="R926" s="451">
        <f t="shared" si="480"/>
        <v>277.14960629921262</v>
      </c>
      <c r="S926" s="452">
        <f t="shared" si="481"/>
        <v>35198</v>
      </c>
      <c r="T926" s="446"/>
      <c r="U926" s="684" t="s">
        <v>154</v>
      </c>
      <c r="V926" s="684"/>
      <c r="W926" s="684" t="s">
        <v>609</v>
      </c>
      <c r="X926" s="684"/>
      <c r="AH926" s="17"/>
      <c r="AI926" s="17"/>
    </row>
    <row r="927" spans="1:35" x14ac:dyDescent="0.25">
      <c r="A927" s="21">
        <f>A$13</f>
        <v>1739</v>
      </c>
      <c r="B927" s="149">
        <f t="shared" si="482"/>
        <v>3.8208955223880597E-2</v>
      </c>
      <c r="C927" s="20">
        <f t="shared" si="484"/>
        <v>9</v>
      </c>
      <c r="D927" s="249">
        <f>'Appendix J-2'!AR61</f>
        <v>85</v>
      </c>
      <c r="E927" s="22">
        <f t="shared" si="476"/>
        <v>245.01176470588234</v>
      </c>
      <c r="F927" s="249">
        <f>'Appendix J-2'!AT61</f>
        <v>20826</v>
      </c>
      <c r="G927" s="24">
        <f t="shared" si="477"/>
        <v>431.77667915106116</v>
      </c>
      <c r="H927" s="248">
        <f>'Appendix J-2'!AV61</f>
        <v>8992181.1199999992</v>
      </c>
      <c r="I927" s="688"/>
      <c r="J927" s="205"/>
      <c r="N927" s="453">
        <f t="shared" si="478"/>
        <v>1739</v>
      </c>
      <c r="O927" s="584">
        <f t="shared" si="483"/>
        <v>3.8208955223880597E-2</v>
      </c>
      <c r="P927" s="586">
        <f t="shared" si="485"/>
        <v>9</v>
      </c>
      <c r="Q927" s="452">
        <f t="shared" si="479"/>
        <v>140</v>
      </c>
      <c r="R927" s="451">
        <f t="shared" si="480"/>
        <v>256.05714285714288</v>
      </c>
      <c r="S927" s="452">
        <f t="shared" si="481"/>
        <v>35848</v>
      </c>
      <c r="T927" s="446"/>
      <c r="U927" s="456" t="s">
        <v>608</v>
      </c>
      <c r="V927" s="456" t="s">
        <v>578</v>
      </c>
      <c r="W927" s="456" t="s">
        <v>608</v>
      </c>
      <c r="X927" s="456" t="s">
        <v>578</v>
      </c>
      <c r="AH927" s="17"/>
      <c r="AI927" s="17"/>
    </row>
    <row r="928" spans="1:35" x14ac:dyDescent="0.25">
      <c r="A928" s="21">
        <f>A$14</f>
        <v>1752</v>
      </c>
      <c r="B928" s="149">
        <f t="shared" si="482"/>
        <v>7.4755606670500289E-3</v>
      </c>
      <c r="C928" s="20">
        <f t="shared" si="484"/>
        <v>10</v>
      </c>
      <c r="D928" s="21">
        <f>AN832</f>
        <v>60</v>
      </c>
      <c r="E928" s="22">
        <f>IF(TREND($E$919:$E$927,$C$919:$C$927,C928)&lt;365,TREND($E$919:$E$927,$C$919:$C$927,C928),365)</f>
        <v>258.22822366175762</v>
      </c>
      <c r="F928" s="21">
        <f>D928*E928</f>
        <v>15493.693419705458</v>
      </c>
      <c r="G928" s="24">
        <f>'DDS Rates for Amend'!BC17</f>
        <v>428.05</v>
      </c>
      <c r="H928" s="33">
        <f>F928*G928</f>
        <v>6632075.4683049219</v>
      </c>
      <c r="I928" s="688"/>
      <c r="J928" s="205"/>
      <c r="N928" s="453">
        <f t="shared" si="478"/>
        <v>1752</v>
      </c>
      <c r="O928" s="584">
        <f t="shared" si="483"/>
        <v>7.4755606670500289E-3</v>
      </c>
      <c r="P928" s="586">
        <f t="shared" si="485"/>
        <v>10</v>
      </c>
      <c r="Q928" s="453">
        <f>ROUND((TREND($Q$926:$Q$927,$N$926:$N$927,N928)),0)</f>
        <v>143</v>
      </c>
      <c r="R928" s="455">
        <f>IF(TREND($R$919:$R$927,$N$919:$N$927,N928)&lt;365,TREND($R$919:$R$927,$N$919:$N$927,N928),365)</f>
        <v>247.31446820930856</v>
      </c>
      <c r="S928" s="453">
        <f>Q928*R928</f>
        <v>35365.968953931122</v>
      </c>
      <c r="T928" s="446">
        <v>10</v>
      </c>
      <c r="U928" s="457">
        <f>Q928*$AB$832</f>
        <v>86.821428571428569</v>
      </c>
      <c r="V928" s="457">
        <f>Q928*$AC$832</f>
        <v>56.178571428571431</v>
      </c>
      <c r="W928" s="457">
        <f>R928*$AF$832</f>
        <v>143.67806055922392</v>
      </c>
      <c r="X928" s="457">
        <f>R928*$AG$832</f>
        <v>103.63640765008461</v>
      </c>
      <c r="AH928" s="17"/>
      <c r="AI928" s="17"/>
    </row>
    <row r="929" spans="1:35" x14ac:dyDescent="0.25">
      <c r="A929" s="21">
        <f>A$15</f>
        <v>1822</v>
      </c>
      <c r="B929" s="149">
        <f t="shared" si="482"/>
        <v>3.9954337899543377E-2</v>
      </c>
      <c r="C929" s="20">
        <f t="shared" si="484"/>
        <v>11</v>
      </c>
      <c r="D929" s="21">
        <f>AQ832</f>
        <v>62</v>
      </c>
      <c r="E929" s="22">
        <f t="shared" ref="E929:E933" si="486">IF(TREND($E$919:$E$927,$C$919:$C$927,C929)&lt;365,TREND($E$919:$E$927,$C$919:$C$927,C929),365)</f>
        <v>272.24198650569372</v>
      </c>
      <c r="F929" s="21">
        <f t="shared" ref="F929:F933" si="487">D929*E929</f>
        <v>16879.003163353009</v>
      </c>
      <c r="G929" s="24">
        <f>'DDS Rates for Amend'!BC18</f>
        <v>439.17930000000001</v>
      </c>
      <c r="H929" s="33">
        <f t="shared" ref="H929:H933" si="488">F929*G929</f>
        <v>7412908.7939791605</v>
      </c>
      <c r="I929" s="688"/>
      <c r="J929" s="205"/>
      <c r="N929" s="453">
        <f t="shared" si="478"/>
        <v>1822</v>
      </c>
      <c r="O929" s="584">
        <f>(N929-N928)/N928</f>
        <v>3.9954337899543377E-2</v>
      </c>
      <c r="P929" s="586">
        <f t="shared" si="485"/>
        <v>11</v>
      </c>
      <c r="Q929" s="453">
        <f t="shared" ref="Q929:Q933" si="489">ROUND((TREND($Q$926:$Q$927,$N$926:$N$927,N929)),0)</f>
        <v>157</v>
      </c>
      <c r="R929" s="455">
        <f t="shared" ref="R929:R933" si="490">IF(TREND($R$919:$R$927,$N$919:$N$927,N929)&lt;365,TREND($R$919:$R$927,$N$919:$N$927,N929),365)</f>
        <v>264.38529707590999</v>
      </c>
      <c r="S929" s="453">
        <f t="shared" ref="S929:S933" si="491">Q929*R929</f>
        <v>41508.49164091787</v>
      </c>
      <c r="T929" s="446">
        <v>11</v>
      </c>
      <c r="U929" s="457">
        <f t="shared" ref="U929:U933" si="492">Q929*$AB$832</f>
        <v>95.321428571428569</v>
      </c>
      <c r="V929" s="457">
        <f t="shared" ref="V929:V933" si="493">Q929*$AC$832</f>
        <v>61.678571428571431</v>
      </c>
      <c r="W929" s="457">
        <f t="shared" ref="W929:W933" si="494">R929*$AF$832</f>
        <v>153.59540830458886</v>
      </c>
      <c r="X929" s="457">
        <f t="shared" ref="X929:X933" si="495">R929*$AG$832</f>
        <v>110.78988877132113</v>
      </c>
      <c r="AH929" s="17"/>
      <c r="AI929" s="17"/>
    </row>
    <row r="930" spans="1:35" x14ac:dyDescent="0.25">
      <c r="A930" s="21">
        <f>A$16</f>
        <v>1872</v>
      </c>
      <c r="B930" s="149">
        <f t="shared" si="482"/>
        <v>2.7442371020856202E-2</v>
      </c>
      <c r="C930" s="20">
        <f t="shared" si="484"/>
        <v>12</v>
      </c>
      <c r="D930" s="21">
        <f>AT832</f>
        <v>64</v>
      </c>
      <c r="E930" s="22">
        <f t="shared" si="486"/>
        <v>286.25574934962992</v>
      </c>
      <c r="F930" s="21">
        <f t="shared" si="487"/>
        <v>18320.367958376315</v>
      </c>
      <c r="G930" s="24">
        <f>'DDS Rates for Amend'!BC19</f>
        <v>450.59796180000001</v>
      </c>
      <c r="H930" s="33">
        <f t="shared" si="488"/>
        <v>8255120.4614703953</v>
      </c>
      <c r="I930" s="688"/>
      <c r="J930" s="205"/>
      <c r="N930" s="453">
        <f t="shared" si="478"/>
        <v>1872</v>
      </c>
      <c r="O930" s="584">
        <f t="shared" si="483"/>
        <v>2.7442371020856202E-2</v>
      </c>
      <c r="P930" s="586">
        <f t="shared" si="485"/>
        <v>12</v>
      </c>
      <c r="Q930" s="453">
        <f t="shared" si="489"/>
        <v>167</v>
      </c>
      <c r="R930" s="455">
        <f t="shared" si="490"/>
        <v>276.57874626633952</v>
      </c>
      <c r="S930" s="453">
        <f t="shared" si="491"/>
        <v>46188.650626478702</v>
      </c>
      <c r="T930" s="446">
        <v>12</v>
      </c>
      <c r="U930" s="457">
        <f t="shared" si="492"/>
        <v>101.39285714285714</v>
      </c>
      <c r="V930" s="457">
        <f t="shared" si="493"/>
        <v>65.607142857142861</v>
      </c>
      <c r="W930" s="457">
        <f t="shared" si="494"/>
        <v>160.6792281227066</v>
      </c>
      <c r="X930" s="457">
        <f t="shared" si="495"/>
        <v>115.8995181436329</v>
      </c>
      <c r="AH930" s="17"/>
      <c r="AI930" s="17"/>
    </row>
    <row r="931" spans="1:35" x14ac:dyDescent="0.25">
      <c r="A931" s="21">
        <f>A$17</f>
        <v>1902</v>
      </c>
      <c r="B931" s="149">
        <f t="shared" si="482"/>
        <v>1.6025641025641024E-2</v>
      </c>
      <c r="C931" s="20">
        <f t="shared" si="484"/>
        <v>13</v>
      </c>
      <c r="D931" s="21">
        <f>AW832</f>
        <v>64</v>
      </c>
      <c r="E931" s="22">
        <f t="shared" si="486"/>
        <v>300.26951219356602</v>
      </c>
      <c r="F931" s="21">
        <f t="shared" si="487"/>
        <v>19217.248780388225</v>
      </c>
      <c r="G931" s="24">
        <f>'DDS Rates for Amend'!BC20</f>
        <v>462.31350880680003</v>
      </c>
      <c r="H931" s="33">
        <f t="shared" si="488"/>
        <v>8884393.7132744789</v>
      </c>
      <c r="I931" s="688"/>
      <c r="J931" s="205"/>
      <c r="N931" s="453">
        <f t="shared" si="478"/>
        <v>1902</v>
      </c>
      <c r="O931" s="584">
        <f t="shared" si="483"/>
        <v>1.6025641025641024E-2</v>
      </c>
      <c r="P931" s="586">
        <f t="shared" si="485"/>
        <v>13</v>
      </c>
      <c r="Q931" s="453">
        <f t="shared" si="489"/>
        <v>173</v>
      </c>
      <c r="R931" s="455">
        <f t="shared" si="490"/>
        <v>283.89481578059724</v>
      </c>
      <c r="S931" s="453">
        <f t="shared" si="491"/>
        <v>49113.803130043321</v>
      </c>
      <c r="T931" s="446">
        <v>13</v>
      </c>
      <c r="U931" s="457">
        <f t="shared" si="492"/>
        <v>105.03571428571428</v>
      </c>
      <c r="V931" s="457">
        <f t="shared" si="493"/>
        <v>67.964285714285708</v>
      </c>
      <c r="W931" s="457">
        <f t="shared" si="494"/>
        <v>164.92952001357725</v>
      </c>
      <c r="X931" s="457">
        <f t="shared" si="495"/>
        <v>118.96529576701997</v>
      </c>
      <c r="AH931" s="17"/>
      <c r="AI931" s="17"/>
    </row>
    <row r="932" spans="1:35" x14ac:dyDescent="0.25">
      <c r="A932" s="21">
        <f>A$18</f>
        <v>1932</v>
      </c>
      <c r="B932" s="149">
        <f t="shared" si="482"/>
        <v>1.5772870662460567E-2</v>
      </c>
      <c r="C932" s="20">
        <f t="shared" si="484"/>
        <v>14</v>
      </c>
      <c r="D932" s="21">
        <f>AZ832</f>
        <v>66</v>
      </c>
      <c r="E932" s="22">
        <f t="shared" si="486"/>
        <v>314.28327503750216</v>
      </c>
      <c r="F932" s="21">
        <f t="shared" si="487"/>
        <v>20742.696152475142</v>
      </c>
      <c r="G932" s="24">
        <f>'DDS Rates for Amend'!BC21</f>
        <v>474.3336600357768</v>
      </c>
      <c r="H932" s="33">
        <f t="shared" si="488"/>
        <v>9838958.9850135595</v>
      </c>
      <c r="I932" s="688"/>
      <c r="J932" s="205"/>
      <c r="N932" s="453">
        <f t="shared" si="478"/>
        <v>1932</v>
      </c>
      <c r="O932" s="584">
        <f t="shared" si="483"/>
        <v>1.5772870662460567E-2</v>
      </c>
      <c r="P932" s="586">
        <f t="shared" si="485"/>
        <v>14</v>
      </c>
      <c r="Q932" s="453">
        <f t="shared" si="489"/>
        <v>179</v>
      </c>
      <c r="R932" s="455">
        <f t="shared" si="490"/>
        <v>291.21088529485496</v>
      </c>
      <c r="S932" s="453">
        <f t="shared" si="491"/>
        <v>52126.748467779034</v>
      </c>
      <c r="T932" s="446">
        <v>14</v>
      </c>
      <c r="U932" s="457">
        <f t="shared" si="492"/>
        <v>108.67857142857142</v>
      </c>
      <c r="V932" s="457">
        <f t="shared" si="493"/>
        <v>70.321428571428569</v>
      </c>
      <c r="W932" s="457">
        <f t="shared" si="494"/>
        <v>169.17981190444792</v>
      </c>
      <c r="X932" s="457">
        <f t="shared" si="495"/>
        <v>122.03107339040703</v>
      </c>
      <c r="AH932" s="17"/>
      <c r="AI932" s="17"/>
    </row>
    <row r="933" spans="1:35" x14ac:dyDescent="0.25">
      <c r="A933" s="21">
        <f>A$19</f>
        <v>1962</v>
      </c>
      <c r="B933" s="149">
        <f t="shared" si="482"/>
        <v>1.5527950310559006E-2</v>
      </c>
      <c r="C933" s="20">
        <f t="shared" si="484"/>
        <v>15</v>
      </c>
      <c r="D933" s="21">
        <f>BC832</f>
        <v>67</v>
      </c>
      <c r="E933" s="22">
        <f t="shared" si="486"/>
        <v>328.29703788143831</v>
      </c>
      <c r="F933" s="21">
        <f t="shared" si="487"/>
        <v>21995.901538056369</v>
      </c>
      <c r="G933" s="24">
        <f>'DDS Rates for Amend'!BC22</f>
        <v>486.666335196707</v>
      </c>
      <c r="H933" s="33">
        <f t="shared" si="488"/>
        <v>10704664.790873503</v>
      </c>
      <c r="I933" s="689"/>
      <c r="J933" s="205"/>
      <c r="K933" s="285">
        <f>SUM(H919:H933)</f>
        <v>119430160.94291602</v>
      </c>
      <c r="L933" s="17">
        <f>IF(K933='Appendix J-2'!CD61,0,error)</f>
        <v>0</v>
      </c>
      <c r="N933" s="453">
        <f t="shared" si="478"/>
        <v>1962</v>
      </c>
      <c r="O933" s="584">
        <f t="shared" si="483"/>
        <v>1.5527950310559006E-2</v>
      </c>
      <c r="P933" s="586">
        <f t="shared" si="485"/>
        <v>15</v>
      </c>
      <c r="Q933" s="453">
        <f t="shared" si="489"/>
        <v>185</v>
      </c>
      <c r="R933" s="455">
        <f t="shared" si="490"/>
        <v>298.52695480911268</v>
      </c>
      <c r="S933" s="453">
        <f t="shared" si="491"/>
        <v>55227.486639685849</v>
      </c>
      <c r="T933" s="446">
        <v>15</v>
      </c>
      <c r="U933" s="457">
        <f t="shared" si="492"/>
        <v>112.32142857142857</v>
      </c>
      <c r="V933" s="457">
        <f t="shared" si="493"/>
        <v>72.678571428571431</v>
      </c>
      <c r="W933" s="457">
        <f t="shared" si="494"/>
        <v>173.43010379531856</v>
      </c>
      <c r="X933" s="457">
        <f t="shared" si="495"/>
        <v>125.09685101379409</v>
      </c>
      <c r="AH933" s="17"/>
      <c r="AI933" s="17"/>
    </row>
    <row r="934" spans="1:35" x14ac:dyDescent="0.25">
      <c r="C934"/>
      <c r="I934" s="568"/>
      <c r="J934"/>
      <c r="N934" s="446"/>
      <c r="O934" s="446"/>
      <c r="P934" s="446"/>
      <c r="Q934" s="466"/>
      <c r="R934" s="454"/>
      <c r="S934" s="446"/>
      <c r="T934" s="446"/>
      <c r="U934" s="446"/>
      <c r="V934" s="446"/>
      <c r="W934" s="446"/>
      <c r="X934" s="446"/>
      <c r="AH934" s="17"/>
      <c r="AI934" s="17"/>
    </row>
    <row r="935" spans="1:35" x14ac:dyDescent="0.25">
      <c r="A935" s="271" t="s">
        <v>114</v>
      </c>
      <c r="B935" s="272"/>
      <c r="C935" s="272"/>
      <c r="D935" s="292" t="str">
        <f>'Appendix J-2'!B63</f>
        <v>Assistance</v>
      </c>
      <c r="E935" s="223" t="str">
        <f>'Appendix J-2'!C56</f>
        <v>1 day</v>
      </c>
      <c r="F935" s="690"/>
      <c r="G935" s="690"/>
      <c r="H935" s="690"/>
      <c r="I935" s="687" t="s">
        <v>1100</v>
      </c>
      <c r="J935" s="205"/>
      <c r="N935" s="577" t="s">
        <v>569</v>
      </c>
      <c r="O935" s="578"/>
      <c r="P935" s="578"/>
      <c r="Q935" s="579"/>
      <c r="R935" s="447"/>
      <c r="S935" s="448"/>
      <c r="T935" s="446"/>
      <c r="U935" s="446"/>
      <c r="V935" s="446"/>
      <c r="W935" s="446"/>
      <c r="X935" s="446"/>
      <c r="AH935" s="17"/>
      <c r="AI935" s="17"/>
    </row>
    <row r="936" spans="1:35" ht="30" x14ac:dyDescent="0.25">
      <c r="A936" s="147" t="s">
        <v>26</v>
      </c>
      <c r="B936" s="147" t="s">
        <v>27</v>
      </c>
      <c r="C936" s="50" t="s">
        <v>166</v>
      </c>
      <c r="D936" s="91" t="s">
        <v>154</v>
      </c>
      <c r="E936" s="89" t="s">
        <v>155</v>
      </c>
      <c r="F936" s="34" t="s">
        <v>158</v>
      </c>
      <c r="G936" s="35" t="s">
        <v>156</v>
      </c>
      <c r="H936" s="51" t="s">
        <v>157</v>
      </c>
      <c r="I936" s="688"/>
      <c r="J936" s="205"/>
      <c r="N936" s="580" t="s">
        <v>26</v>
      </c>
      <c r="O936" s="580" t="s">
        <v>27</v>
      </c>
      <c r="P936" s="471" t="s">
        <v>166</v>
      </c>
      <c r="Q936" s="581" t="s">
        <v>154</v>
      </c>
      <c r="R936" s="449" t="s">
        <v>155</v>
      </c>
      <c r="S936" s="450" t="s">
        <v>158</v>
      </c>
      <c r="T936" s="446"/>
      <c r="U936" s="446"/>
      <c r="V936" s="446"/>
      <c r="W936" s="446"/>
      <c r="X936" s="446"/>
      <c r="AH936" s="17"/>
      <c r="AI936" s="17"/>
    </row>
    <row r="937" spans="1:35" ht="15" customHeight="1" x14ac:dyDescent="0.25">
      <c r="A937" s="21">
        <f>A$5</f>
        <v>1182</v>
      </c>
      <c r="B937" s="148"/>
      <c r="C937" s="144">
        <v>1</v>
      </c>
      <c r="D937" s="247">
        <f>'Appendix J-2'!D63</f>
        <v>50</v>
      </c>
      <c r="E937" s="22">
        <f>IF(F937=0,0,F937/D937)</f>
        <v>244.68</v>
      </c>
      <c r="F937" s="247">
        <f>'Appendix J-2'!F63</f>
        <v>12234</v>
      </c>
      <c r="G937" s="24">
        <f>H937/F937</f>
        <v>261.97879843060326</v>
      </c>
      <c r="H937" s="250">
        <f>'Appendix J-2'!H63</f>
        <v>3205048.62</v>
      </c>
      <c r="I937" s="688"/>
      <c r="J937" s="205"/>
      <c r="N937" s="453">
        <f>A937</f>
        <v>1182</v>
      </c>
      <c r="O937" s="582"/>
      <c r="P937" s="583">
        <v>1</v>
      </c>
      <c r="Q937" s="452">
        <f>D937+D1423</f>
        <v>50</v>
      </c>
      <c r="R937" s="451">
        <f>IF(S937=0,0,S937/Q937)</f>
        <v>244.68</v>
      </c>
      <c r="S937" s="452">
        <f>F937+F1423</f>
        <v>12234</v>
      </c>
      <c r="T937" s="446"/>
      <c r="U937" s="446"/>
      <c r="V937" s="446"/>
      <c r="W937" s="446"/>
      <c r="X937" s="446"/>
      <c r="AH937" s="17"/>
      <c r="AI937" s="17"/>
    </row>
    <row r="938" spans="1:35" x14ac:dyDescent="0.25">
      <c r="A938" s="21">
        <f>A$6</f>
        <v>1288</v>
      </c>
      <c r="B938" s="149">
        <f>(A938-A937)/A937</f>
        <v>8.9678510998307953E-2</v>
      </c>
      <c r="C938" s="52">
        <v>2</v>
      </c>
      <c r="D938" s="247">
        <f>'Appendix J-2'!I63</f>
        <v>39</v>
      </c>
      <c r="E938" s="22">
        <f t="shared" ref="E938:E945" si="496">IF(F938=0,0,F938/D938)</f>
        <v>266.4871794871795</v>
      </c>
      <c r="F938" s="247">
        <f>'Appendix J-2'!K63</f>
        <v>10393</v>
      </c>
      <c r="G938" s="24">
        <f t="shared" ref="G938:G945" si="497">H938/F938</f>
        <v>262</v>
      </c>
      <c r="H938" s="250">
        <f>'Appendix J-2'!M63</f>
        <v>2722966</v>
      </c>
      <c r="I938" s="688"/>
      <c r="J938" s="205"/>
      <c r="N938" s="453">
        <f t="shared" ref="N938:N951" si="498">A938</f>
        <v>1288</v>
      </c>
      <c r="O938" s="584">
        <f>(N938-N937)/N937</f>
        <v>8.9678510998307953E-2</v>
      </c>
      <c r="P938" s="585">
        <v>2</v>
      </c>
      <c r="Q938" s="452">
        <f t="shared" ref="Q938:Q945" si="499">D938+D1424</f>
        <v>39</v>
      </c>
      <c r="R938" s="451">
        <f t="shared" ref="R938:R945" si="500">IF(S938=0,0,S938/Q938)</f>
        <v>266.4871794871795</v>
      </c>
      <c r="S938" s="452">
        <f t="shared" ref="S938:S945" si="501">F938+F1424</f>
        <v>10393</v>
      </c>
      <c r="T938" s="446"/>
      <c r="U938" s="446"/>
      <c r="V938" s="446"/>
      <c r="W938" s="446"/>
      <c r="X938" s="446"/>
      <c r="AH938" s="17"/>
      <c r="AI938" s="17"/>
    </row>
    <row r="939" spans="1:35" x14ac:dyDescent="0.25">
      <c r="A939" s="21">
        <f>A$7</f>
        <v>1495</v>
      </c>
      <c r="B939" s="149">
        <f t="shared" ref="B939:B951" si="502">(A939-A938)/A938</f>
        <v>0.16071428571428573</v>
      </c>
      <c r="C939" s="52">
        <v>3</v>
      </c>
      <c r="D939" s="247">
        <f>'Appendix J-2'!N63</f>
        <v>39</v>
      </c>
      <c r="E939" s="22">
        <f t="shared" si="496"/>
        <v>243.61538461538461</v>
      </c>
      <c r="F939" s="247">
        <f>'Appendix J-2'!P63</f>
        <v>9501</v>
      </c>
      <c r="G939" s="24">
        <f t="shared" si="497"/>
        <v>262</v>
      </c>
      <c r="H939" s="248">
        <f>'Appendix J-2'!R63</f>
        <v>2489262</v>
      </c>
      <c r="I939" s="688"/>
      <c r="J939" s="205"/>
      <c r="N939" s="453">
        <f t="shared" si="498"/>
        <v>1495</v>
      </c>
      <c r="O939" s="584">
        <f t="shared" ref="O939:O951" si="503">(N939-N938)/N938</f>
        <v>0.16071428571428573</v>
      </c>
      <c r="P939" s="585">
        <v>3</v>
      </c>
      <c r="Q939" s="452">
        <f t="shared" si="499"/>
        <v>39</v>
      </c>
      <c r="R939" s="451">
        <f t="shared" si="500"/>
        <v>243.61538461538461</v>
      </c>
      <c r="S939" s="452">
        <f t="shared" si="501"/>
        <v>9501</v>
      </c>
      <c r="T939" s="446"/>
      <c r="U939" s="446"/>
      <c r="V939" s="446"/>
      <c r="W939" s="446"/>
      <c r="X939" s="446"/>
      <c r="AH939" s="17"/>
      <c r="AI939" s="17"/>
    </row>
    <row r="940" spans="1:35" x14ac:dyDescent="0.25">
      <c r="A940" s="21">
        <f>A$8</f>
        <v>1484</v>
      </c>
      <c r="B940" s="149">
        <f t="shared" si="502"/>
        <v>-7.3578595317725752E-3</v>
      </c>
      <c r="C940" s="52">
        <f t="shared" ref="C940:C951" si="504">C939+1</f>
        <v>4</v>
      </c>
      <c r="D940" s="247">
        <f>'Appendix J-2'!S63</f>
        <v>30</v>
      </c>
      <c r="E940" s="22">
        <f t="shared" si="496"/>
        <v>222.33333333333334</v>
      </c>
      <c r="F940" s="247">
        <f>'Appendix J-2'!U63</f>
        <v>6670</v>
      </c>
      <c r="G940" s="24">
        <f t="shared" si="497"/>
        <v>260.73569865067469</v>
      </c>
      <c r="H940" s="248">
        <f>'Appendix J-2'!W63</f>
        <v>1739107.11</v>
      </c>
      <c r="I940" s="688"/>
      <c r="J940" s="205"/>
      <c r="N940" s="453">
        <f t="shared" si="498"/>
        <v>1484</v>
      </c>
      <c r="O940" s="584">
        <f t="shared" si="503"/>
        <v>-7.3578595317725752E-3</v>
      </c>
      <c r="P940" s="585">
        <f t="shared" ref="P940:P951" si="505">P939+1</f>
        <v>4</v>
      </c>
      <c r="Q940" s="452">
        <f t="shared" si="499"/>
        <v>30</v>
      </c>
      <c r="R940" s="451">
        <f t="shared" si="500"/>
        <v>222.33333333333334</v>
      </c>
      <c r="S940" s="452">
        <f t="shared" si="501"/>
        <v>6670</v>
      </c>
      <c r="T940" s="446"/>
      <c r="U940" s="446"/>
      <c r="V940" s="446"/>
      <c r="W940" s="446"/>
      <c r="X940" s="446"/>
      <c r="AH940" s="17"/>
      <c r="AI940" s="17"/>
    </row>
    <row r="941" spans="1:35" x14ac:dyDescent="0.25">
      <c r="A941" s="21">
        <f>A$9</f>
        <v>1528</v>
      </c>
      <c r="B941" s="149">
        <f t="shared" si="502"/>
        <v>2.9649595687331536E-2</v>
      </c>
      <c r="C941" s="52">
        <f t="shared" si="504"/>
        <v>5</v>
      </c>
      <c r="D941" s="247">
        <f>'Appendix J-2'!X63</f>
        <v>32</v>
      </c>
      <c r="E941" s="22">
        <f t="shared" si="496"/>
        <v>256.0625</v>
      </c>
      <c r="F941" s="247">
        <f>'Appendix J-2'!Z63</f>
        <v>8194</v>
      </c>
      <c r="G941" s="24">
        <f t="shared" si="497"/>
        <v>261.57935562606787</v>
      </c>
      <c r="H941" s="248">
        <f>'Appendix J-2'!AB63</f>
        <v>2143381.2400000002</v>
      </c>
      <c r="I941" s="688"/>
      <c r="J941" s="205"/>
      <c r="N941" s="453">
        <f t="shared" si="498"/>
        <v>1528</v>
      </c>
      <c r="O941" s="584">
        <f t="shared" si="503"/>
        <v>2.9649595687331536E-2</v>
      </c>
      <c r="P941" s="585">
        <f t="shared" si="505"/>
        <v>5</v>
      </c>
      <c r="Q941" s="452">
        <f t="shared" si="499"/>
        <v>32</v>
      </c>
      <c r="R941" s="451">
        <f t="shared" si="500"/>
        <v>256.0625</v>
      </c>
      <c r="S941" s="452">
        <f t="shared" si="501"/>
        <v>8194</v>
      </c>
      <c r="T941" s="446"/>
      <c r="U941" s="446"/>
      <c r="V941" s="446"/>
      <c r="W941" s="446"/>
      <c r="X941" s="446"/>
      <c r="AH941" s="17"/>
      <c r="AI941" s="17"/>
    </row>
    <row r="942" spans="1:35" x14ac:dyDescent="0.25">
      <c r="A942" s="21">
        <f>A$10</f>
        <v>1592</v>
      </c>
      <c r="B942" s="149">
        <f t="shared" si="502"/>
        <v>4.1884816753926704E-2</v>
      </c>
      <c r="C942" s="52">
        <f t="shared" si="504"/>
        <v>6</v>
      </c>
      <c r="D942" s="249">
        <f>'Appendix J-2'!AC63</f>
        <v>63</v>
      </c>
      <c r="E942" s="22">
        <f t="shared" si="496"/>
        <v>153.20634920634922</v>
      </c>
      <c r="F942" s="249">
        <f>'Appendix J-2'!AE63</f>
        <v>9652</v>
      </c>
      <c r="G942" s="24">
        <f t="shared" si="497"/>
        <v>289.20327393286368</v>
      </c>
      <c r="H942" s="248">
        <f>'Appendix J-2'!AG63</f>
        <v>2791390</v>
      </c>
      <c r="I942" s="688"/>
      <c r="J942" s="205"/>
      <c r="N942" s="453">
        <f t="shared" si="498"/>
        <v>1592</v>
      </c>
      <c r="O942" s="584">
        <f t="shared" si="503"/>
        <v>4.1884816753926704E-2</v>
      </c>
      <c r="P942" s="585">
        <f t="shared" si="505"/>
        <v>6</v>
      </c>
      <c r="Q942" s="452">
        <f t="shared" si="499"/>
        <v>63</v>
      </c>
      <c r="R942" s="451">
        <f t="shared" si="500"/>
        <v>153.20634920634922</v>
      </c>
      <c r="S942" s="452">
        <f t="shared" si="501"/>
        <v>9652</v>
      </c>
      <c r="T942" s="446"/>
      <c r="U942" s="446"/>
      <c r="V942" s="446"/>
      <c r="W942" s="446"/>
      <c r="X942" s="446"/>
      <c r="AH942" s="17"/>
      <c r="AI942" s="17"/>
    </row>
    <row r="943" spans="1:35" x14ac:dyDescent="0.25">
      <c r="A943" s="21">
        <f>A$11</f>
        <v>1642</v>
      </c>
      <c r="B943" s="149">
        <f t="shared" si="502"/>
        <v>3.1407035175879394E-2</v>
      </c>
      <c r="C943" s="20">
        <f t="shared" si="504"/>
        <v>7</v>
      </c>
      <c r="D943" s="249">
        <f>'Appendix J-2'!AH63</f>
        <v>52</v>
      </c>
      <c r="E943" s="22">
        <f t="shared" si="496"/>
        <v>151.42307692307693</v>
      </c>
      <c r="F943" s="249">
        <f>'Appendix J-2'!AJ63</f>
        <v>7874</v>
      </c>
      <c r="G943" s="24">
        <f t="shared" si="497"/>
        <v>293.23800101600204</v>
      </c>
      <c r="H943" s="248">
        <f>'Appendix J-2'!AL63</f>
        <v>2308956.02</v>
      </c>
      <c r="I943" s="688"/>
      <c r="J943" s="205"/>
      <c r="N943" s="453">
        <f t="shared" si="498"/>
        <v>1642</v>
      </c>
      <c r="O943" s="584">
        <f t="shared" si="503"/>
        <v>3.1407035175879394E-2</v>
      </c>
      <c r="P943" s="586">
        <f t="shared" si="505"/>
        <v>7</v>
      </c>
      <c r="Q943" s="452">
        <f t="shared" si="499"/>
        <v>53</v>
      </c>
      <c r="R943" s="451">
        <f t="shared" si="500"/>
        <v>151.24528301886792</v>
      </c>
      <c r="S943" s="452">
        <f t="shared" si="501"/>
        <v>8016</v>
      </c>
      <c r="T943" s="682" t="s">
        <v>610</v>
      </c>
      <c r="U943" s="683"/>
      <c r="V943" s="683"/>
      <c r="W943" s="683"/>
      <c r="X943" s="683"/>
      <c r="AH943" s="17"/>
      <c r="AI943" s="17"/>
    </row>
    <row r="944" spans="1:35" x14ac:dyDescent="0.25">
      <c r="A944" s="21">
        <f>A$12</f>
        <v>1675</v>
      </c>
      <c r="B944" s="149">
        <f t="shared" si="502"/>
        <v>2.0097442143727162E-2</v>
      </c>
      <c r="C944" s="20">
        <f t="shared" si="504"/>
        <v>8</v>
      </c>
      <c r="D944" s="249">
        <f>'Appendix J-2'!AM63</f>
        <v>19</v>
      </c>
      <c r="E944" s="22">
        <f t="shared" si="496"/>
        <v>247.31578947368422</v>
      </c>
      <c r="F944" s="249">
        <f>'Appendix J-2'!AO63</f>
        <v>4699</v>
      </c>
      <c r="G944" s="24">
        <f t="shared" si="497"/>
        <v>317.51352415407536</v>
      </c>
      <c r="H944" s="248">
        <f>'Appendix J-2'!AQ63</f>
        <v>1491996.05</v>
      </c>
      <c r="I944" s="688"/>
      <c r="J944" s="205"/>
      <c r="N944" s="453">
        <f t="shared" si="498"/>
        <v>1675</v>
      </c>
      <c r="O944" s="584">
        <f t="shared" si="503"/>
        <v>2.0097442143727162E-2</v>
      </c>
      <c r="P944" s="586">
        <f t="shared" si="505"/>
        <v>8</v>
      </c>
      <c r="Q944" s="452">
        <f t="shared" si="499"/>
        <v>20</v>
      </c>
      <c r="R944" s="451">
        <f t="shared" si="500"/>
        <v>245.35</v>
      </c>
      <c r="S944" s="452">
        <f t="shared" si="501"/>
        <v>4907</v>
      </c>
      <c r="T944" s="446"/>
      <c r="U944" s="684" t="s">
        <v>154</v>
      </c>
      <c r="V944" s="684"/>
      <c r="W944" s="684" t="s">
        <v>609</v>
      </c>
      <c r="X944" s="684"/>
      <c r="AH944" s="17"/>
      <c r="AI944" s="17"/>
    </row>
    <row r="945" spans="1:35" x14ac:dyDescent="0.25">
      <c r="A945" s="21">
        <f>A$13</f>
        <v>1739</v>
      </c>
      <c r="B945" s="149">
        <f t="shared" si="502"/>
        <v>3.8208955223880597E-2</v>
      </c>
      <c r="C945" s="20">
        <f t="shared" si="504"/>
        <v>9</v>
      </c>
      <c r="D945" s="249">
        <f>'Appendix J-2'!AR63</f>
        <v>12</v>
      </c>
      <c r="E945" s="22">
        <f t="shared" si="496"/>
        <v>210.66666666666666</v>
      </c>
      <c r="F945" s="249">
        <f>'Appendix J-2'!AT63</f>
        <v>2528</v>
      </c>
      <c r="G945" s="24">
        <f t="shared" si="497"/>
        <v>318.11386075949366</v>
      </c>
      <c r="H945" s="248">
        <f>'Appendix J-2'!AV63</f>
        <v>804191.84</v>
      </c>
      <c r="I945" s="688"/>
      <c r="J945" s="205"/>
      <c r="N945" s="453">
        <f t="shared" si="498"/>
        <v>1739</v>
      </c>
      <c r="O945" s="584">
        <f t="shared" si="503"/>
        <v>3.8208955223880597E-2</v>
      </c>
      <c r="P945" s="586">
        <f t="shared" si="505"/>
        <v>9</v>
      </c>
      <c r="Q945" s="452">
        <f t="shared" si="499"/>
        <v>14</v>
      </c>
      <c r="R945" s="451">
        <f t="shared" si="500"/>
        <v>219.85714285714286</v>
      </c>
      <c r="S945" s="452">
        <f t="shared" si="501"/>
        <v>3078</v>
      </c>
      <c r="T945" s="446"/>
      <c r="U945" s="456" t="s">
        <v>608</v>
      </c>
      <c r="V945" s="456" t="s">
        <v>578</v>
      </c>
      <c r="W945" s="456" t="s">
        <v>608</v>
      </c>
      <c r="X945" s="456" t="s">
        <v>578</v>
      </c>
      <c r="AH945" s="17"/>
      <c r="AI945" s="17"/>
    </row>
    <row r="946" spans="1:35" x14ac:dyDescent="0.25">
      <c r="A946" s="21">
        <f>A$14</f>
        <v>1752</v>
      </c>
      <c r="B946" s="149">
        <f t="shared" si="502"/>
        <v>7.4755606670500289E-3</v>
      </c>
      <c r="C946" s="20">
        <f t="shared" si="504"/>
        <v>10</v>
      </c>
      <c r="D946" s="21">
        <f>AN833</f>
        <v>9</v>
      </c>
      <c r="E946" s="22">
        <f>IF(TREND($E$937:$E$945,$C$937:$C$945,C946)&lt;365,TREND($E$937:$E$945,$C$937:$C$945,C946),365)</f>
        <v>184.49788361573451</v>
      </c>
      <c r="F946" s="21">
        <f>D946*E946</f>
        <v>1660.4809525416106</v>
      </c>
      <c r="G946" s="24">
        <f>'DDS Rates for Amend'!BE17</f>
        <v>317.87</v>
      </c>
      <c r="H946" s="33">
        <f>F946*G946</f>
        <v>527817.08038440172</v>
      </c>
      <c r="I946" s="688"/>
      <c r="J946" s="205"/>
      <c r="N946" s="453">
        <f t="shared" si="498"/>
        <v>1752</v>
      </c>
      <c r="O946" s="584">
        <f t="shared" si="503"/>
        <v>7.4755606670500289E-3</v>
      </c>
      <c r="P946" s="586">
        <f t="shared" si="505"/>
        <v>10</v>
      </c>
      <c r="Q946" s="453">
        <f>ROUND(IF(TREND($Q$944:$Q$945,$N$944:$N$945,N946)&gt;0,TREND($Q$944:$Q$945,$N$944:$N$945,N946),0),0)</f>
        <v>13</v>
      </c>
      <c r="R946" s="451">
        <f>IF(TREND($R$937:$R$945,$N$937:$N$945,N946)&lt;365,TREND($R$937:$R$945,$N$937:$N$945,N946),365)</f>
        <v>196.45653658316485</v>
      </c>
      <c r="S946" s="453">
        <f>Q946*R946</f>
        <v>2553.9349755811431</v>
      </c>
      <c r="T946" s="446">
        <v>10</v>
      </c>
      <c r="U946" s="457">
        <f>Q946*$AB$833</f>
        <v>11.142857142857142</v>
      </c>
      <c r="V946" s="457">
        <f>Q946*$AC$833</f>
        <v>1.857142857142857</v>
      </c>
      <c r="W946" s="457">
        <f>R946*$AF$833</f>
        <v>161.35221718071497</v>
      </c>
      <c r="X946" s="457">
        <f>R946*$AG$833</f>
        <v>35.10431940244986</v>
      </c>
      <c r="AH946" s="17"/>
      <c r="AI946" s="17"/>
    </row>
    <row r="947" spans="1:35" x14ac:dyDescent="0.25">
      <c r="A947" s="21">
        <f>A$15</f>
        <v>1822</v>
      </c>
      <c r="B947" s="149">
        <f t="shared" si="502"/>
        <v>3.9954337899543377E-2</v>
      </c>
      <c r="C947" s="20">
        <f t="shared" si="504"/>
        <v>11</v>
      </c>
      <c r="D947" s="21">
        <f>AQ833</f>
        <v>9</v>
      </c>
      <c r="E947" s="22">
        <f t="shared" ref="E947:E951" si="506">IF(TREND($E$937:$E$945,$C$937:$C$945,C947)&lt;365,TREND($E$937:$E$945,$C$937:$C$945,C947),365)</f>
        <v>177.04656523431086</v>
      </c>
      <c r="F947" s="21">
        <f t="shared" ref="F947:F951" si="507">D947*E947</f>
        <v>1593.4190871087978</v>
      </c>
      <c r="G947" s="24">
        <f>'DDS Rates for Amend'!BE18</f>
        <v>326.13461999999998</v>
      </c>
      <c r="H947" s="33">
        <f t="shared" ref="H947:H951" si="508">F947*G947</f>
        <v>519669.12847497466</v>
      </c>
      <c r="I947" s="688"/>
      <c r="J947" s="205"/>
      <c r="N947" s="453">
        <f t="shared" si="498"/>
        <v>1822</v>
      </c>
      <c r="O947" s="584">
        <f t="shared" si="503"/>
        <v>3.9954337899543377E-2</v>
      </c>
      <c r="P947" s="586">
        <f t="shared" si="505"/>
        <v>11</v>
      </c>
      <c r="Q947" s="453">
        <f t="shared" ref="Q947:Q951" si="509">ROUND(IF(TREND($Q$944:$Q$945,$N$944:$N$945,N947)&gt;0,TREND($Q$944:$Q$945,$N$944:$N$945,N947),0),0)</f>
        <v>6</v>
      </c>
      <c r="R947" s="451">
        <f t="shared" ref="R947:R951" si="510">IF(TREND($R$937:$R$945,$N$937:$N$945,N947)&lt;365,TREND($R$937:$R$945,$N$937:$N$945,N947),365)</f>
        <v>188.7892551884452</v>
      </c>
      <c r="S947" s="453">
        <f t="shared" ref="S947:S951" si="511">Q947*R947</f>
        <v>1132.7355311306712</v>
      </c>
      <c r="T947" s="446">
        <v>11</v>
      </c>
      <c r="U947" s="457">
        <f t="shared" ref="U947:U951" si="512">Q947*$AB$833</f>
        <v>5.1428571428571423</v>
      </c>
      <c r="V947" s="457">
        <f t="shared" ref="V947:V951" si="513">Q947*$AC$833</f>
        <v>0.8571428571428571</v>
      </c>
      <c r="W947" s="457">
        <f t="shared" ref="W947:W951" si="514">R947*$AF$833</f>
        <v>155.05498281883996</v>
      </c>
      <c r="X947" s="457">
        <f t="shared" ref="X947:X951" si="515">R947*$AG$833</f>
        <v>33.734272369605215</v>
      </c>
      <c r="AH947" s="17"/>
      <c r="AI947" s="17"/>
    </row>
    <row r="948" spans="1:35" x14ac:dyDescent="0.25">
      <c r="A948" s="21">
        <f>A$16</f>
        <v>1872</v>
      </c>
      <c r="B948" s="149">
        <f t="shared" si="502"/>
        <v>2.7442371020856202E-2</v>
      </c>
      <c r="C948" s="20">
        <f t="shared" si="504"/>
        <v>12</v>
      </c>
      <c r="D948" s="21">
        <f>AT833</f>
        <v>9</v>
      </c>
      <c r="E948" s="22">
        <f t="shared" si="506"/>
        <v>169.59524685288721</v>
      </c>
      <c r="F948" s="21">
        <f t="shared" si="507"/>
        <v>1526.3572216759849</v>
      </c>
      <c r="G948" s="24">
        <f>'DDS Rates for Amend'!BE19</f>
        <v>334.61412012</v>
      </c>
      <c r="H948" s="33">
        <f t="shared" si="508"/>
        <v>510740.67871991749</v>
      </c>
      <c r="I948" s="688"/>
      <c r="J948" s="205"/>
      <c r="N948" s="453">
        <f t="shared" si="498"/>
        <v>1872</v>
      </c>
      <c r="O948" s="584">
        <f t="shared" si="503"/>
        <v>2.7442371020856202E-2</v>
      </c>
      <c r="P948" s="586">
        <f t="shared" si="505"/>
        <v>12</v>
      </c>
      <c r="Q948" s="453">
        <f t="shared" si="509"/>
        <v>2</v>
      </c>
      <c r="R948" s="451">
        <f t="shared" si="510"/>
        <v>183.31262562078834</v>
      </c>
      <c r="S948" s="453">
        <f t="shared" si="511"/>
        <v>366.62525124157668</v>
      </c>
      <c r="T948" s="446">
        <v>12</v>
      </c>
      <c r="U948" s="457">
        <f t="shared" si="512"/>
        <v>1.7142857142857142</v>
      </c>
      <c r="V948" s="457">
        <f t="shared" si="513"/>
        <v>0.2857142857142857</v>
      </c>
      <c r="W948" s="457">
        <f t="shared" si="514"/>
        <v>150.55695827464356</v>
      </c>
      <c r="X948" s="457">
        <f t="shared" si="515"/>
        <v>32.755667346144762</v>
      </c>
      <c r="AH948" s="17"/>
      <c r="AI948" s="17"/>
    </row>
    <row r="949" spans="1:35" x14ac:dyDescent="0.25">
      <c r="A949" s="21">
        <f>A$17</f>
        <v>1902</v>
      </c>
      <c r="B949" s="149">
        <f t="shared" si="502"/>
        <v>1.6025641025641024E-2</v>
      </c>
      <c r="C949" s="20">
        <f t="shared" si="504"/>
        <v>13</v>
      </c>
      <c r="D949" s="21">
        <f>AW833</f>
        <v>9</v>
      </c>
      <c r="E949" s="22">
        <f t="shared" si="506"/>
        <v>162.1439284714636</v>
      </c>
      <c r="F949" s="21">
        <f t="shared" si="507"/>
        <v>1459.2953562431724</v>
      </c>
      <c r="G949" s="24">
        <f>'DDS Rates for Amend'!BE20</f>
        <v>343.31408724312001</v>
      </c>
      <c r="H949" s="33">
        <f t="shared" si="508"/>
        <v>500996.65324674838</v>
      </c>
      <c r="I949" s="688"/>
      <c r="J949" s="205"/>
      <c r="N949" s="453">
        <f t="shared" si="498"/>
        <v>1902</v>
      </c>
      <c r="O949" s="584">
        <f t="shared" si="503"/>
        <v>1.6025641025641024E-2</v>
      </c>
      <c r="P949" s="586">
        <f t="shared" si="505"/>
        <v>13</v>
      </c>
      <c r="Q949" s="453">
        <f t="shared" si="509"/>
        <v>0</v>
      </c>
      <c r="R949" s="451">
        <f t="shared" si="510"/>
        <v>180.02664788019419</v>
      </c>
      <c r="S949" s="453">
        <f t="shared" si="511"/>
        <v>0</v>
      </c>
      <c r="T949" s="446">
        <v>13</v>
      </c>
      <c r="U949" s="457">
        <f t="shared" si="512"/>
        <v>0</v>
      </c>
      <c r="V949" s="457">
        <f t="shared" si="513"/>
        <v>0</v>
      </c>
      <c r="W949" s="457">
        <f t="shared" si="514"/>
        <v>147.8581435481257</v>
      </c>
      <c r="X949" s="457">
        <f t="shared" si="515"/>
        <v>32.168504332068487</v>
      </c>
      <c r="AH949" s="17"/>
      <c r="AI949" s="17"/>
    </row>
    <row r="950" spans="1:35" x14ac:dyDescent="0.25">
      <c r="A950" s="21">
        <f>A$18</f>
        <v>1932</v>
      </c>
      <c r="B950" s="149">
        <f t="shared" si="502"/>
        <v>1.5772870662460567E-2</v>
      </c>
      <c r="C950" s="20">
        <f t="shared" si="504"/>
        <v>14</v>
      </c>
      <c r="D950" s="21">
        <f>AZ833</f>
        <v>9</v>
      </c>
      <c r="E950" s="22">
        <f t="shared" si="506"/>
        <v>154.69261009003992</v>
      </c>
      <c r="F950" s="21">
        <f t="shared" si="507"/>
        <v>1392.2334908103594</v>
      </c>
      <c r="G950" s="24">
        <f>'DDS Rates for Amend'!BE21</f>
        <v>352.24025351144115</v>
      </c>
      <c r="H950" s="33">
        <f t="shared" si="508"/>
        <v>490400.6777501597</v>
      </c>
      <c r="I950" s="688"/>
      <c r="J950" s="205"/>
      <c r="N950" s="453">
        <f t="shared" si="498"/>
        <v>1932</v>
      </c>
      <c r="O950" s="584">
        <f t="shared" si="503"/>
        <v>1.5772870662460567E-2</v>
      </c>
      <c r="P950" s="586">
        <f t="shared" si="505"/>
        <v>14</v>
      </c>
      <c r="Q950" s="453">
        <f t="shared" si="509"/>
        <v>0</v>
      </c>
      <c r="R950" s="451">
        <f t="shared" si="510"/>
        <v>176.74067013960007</v>
      </c>
      <c r="S950" s="453">
        <f t="shared" si="511"/>
        <v>0</v>
      </c>
      <c r="T950" s="446">
        <v>14</v>
      </c>
      <c r="U950" s="457">
        <f t="shared" si="512"/>
        <v>0</v>
      </c>
      <c r="V950" s="457">
        <f t="shared" si="513"/>
        <v>0</v>
      </c>
      <c r="W950" s="457">
        <f t="shared" si="514"/>
        <v>145.15932882160786</v>
      </c>
      <c r="X950" s="457">
        <f t="shared" si="515"/>
        <v>31.581341317992212</v>
      </c>
      <c r="AH950" s="17"/>
      <c r="AI950" s="17"/>
    </row>
    <row r="951" spans="1:35" x14ac:dyDescent="0.25">
      <c r="A951" s="21">
        <f>A$19</f>
        <v>1962</v>
      </c>
      <c r="B951" s="149">
        <f t="shared" si="502"/>
        <v>1.5527950310559006E-2</v>
      </c>
      <c r="C951" s="20">
        <f t="shared" si="504"/>
        <v>15</v>
      </c>
      <c r="D951" s="21">
        <f>BC833</f>
        <v>9</v>
      </c>
      <c r="E951" s="22">
        <f t="shared" si="506"/>
        <v>147.2412917086163</v>
      </c>
      <c r="F951" s="21">
        <f t="shared" si="507"/>
        <v>1325.1716253775467</v>
      </c>
      <c r="G951" s="24">
        <f>'DDS Rates for Amend'!BE22</f>
        <v>361.39850010273864</v>
      </c>
      <c r="H951" s="33">
        <f t="shared" si="508"/>
        <v>478915.03779015364</v>
      </c>
      <c r="I951" s="689"/>
      <c r="J951" s="205"/>
      <c r="K951" s="285">
        <f>SUM(H937:H951)</f>
        <v>22724838.13636636</v>
      </c>
      <c r="L951" s="17">
        <f>IF(K951='Appendix J-2'!CD63,0,error)</f>
        <v>0</v>
      </c>
      <c r="N951" s="453">
        <f t="shared" si="498"/>
        <v>1962</v>
      </c>
      <c r="O951" s="584">
        <f t="shared" si="503"/>
        <v>1.5527950310559006E-2</v>
      </c>
      <c r="P951" s="586">
        <f t="shared" si="505"/>
        <v>15</v>
      </c>
      <c r="Q951" s="453">
        <f t="shared" si="509"/>
        <v>0</v>
      </c>
      <c r="R951" s="451">
        <f t="shared" si="510"/>
        <v>173.45469239900595</v>
      </c>
      <c r="S951" s="453">
        <f t="shared" si="511"/>
        <v>0</v>
      </c>
      <c r="T951" s="446">
        <v>15</v>
      </c>
      <c r="U951" s="457">
        <f t="shared" si="512"/>
        <v>0</v>
      </c>
      <c r="V951" s="457">
        <f t="shared" si="513"/>
        <v>0</v>
      </c>
      <c r="W951" s="457">
        <f t="shared" si="514"/>
        <v>142.46051409508999</v>
      </c>
      <c r="X951" s="457">
        <f t="shared" si="515"/>
        <v>30.994178303915941</v>
      </c>
      <c r="AH951" s="17"/>
      <c r="AI951" s="17"/>
    </row>
    <row r="952" spans="1:35" x14ac:dyDescent="0.25">
      <c r="C952"/>
      <c r="I952" s="568"/>
      <c r="J952"/>
      <c r="N952" s="446"/>
      <c r="O952" s="446"/>
      <c r="P952" s="446"/>
      <c r="Q952" s="466"/>
      <c r="R952" s="454"/>
      <c r="S952" s="446"/>
      <c r="T952" s="446"/>
      <c r="U952" s="446"/>
      <c r="V952" s="446"/>
      <c r="W952" s="446"/>
      <c r="X952" s="446"/>
      <c r="AH952" s="17"/>
      <c r="AI952" s="17"/>
    </row>
    <row r="953" spans="1:35" x14ac:dyDescent="0.25">
      <c r="A953" s="271" t="s">
        <v>115</v>
      </c>
      <c r="B953" s="272"/>
      <c r="C953" s="272"/>
      <c r="D953" s="292" t="str">
        <f>'Appendix J-2'!B64</f>
        <v>Assistance</v>
      </c>
      <c r="E953" s="223" t="str">
        <f>'Appendix J-2'!C64</f>
        <v>1 day</v>
      </c>
      <c r="F953" s="690"/>
      <c r="G953" s="690"/>
      <c r="H953" s="690"/>
      <c r="I953" s="687" t="s">
        <v>1111</v>
      </c>
      <c r="J953" s="205"/>
      <c r="N953" s="577" t="s">
        <v>570</v>
      </c>
      <c r="O953" s="578"/>
      <c r="P953" s="578"/>
      <c r="Q953" s="579"/>
      <c r="R953" s="447"/>
      <c r="S953" s="448"/>
      <c r="T953" s="446"/>
      <c r="U953" s="446"/>
      <c r="V953" s="446"/>
      <c r="W953" s="446"/>
      <c r="X953" s="446"/>
      <c r="AH953" s="17"/>
      <c r="AI953" s="17"/>
    </row>
    <row r="954" spans="1:35" ht="30" x14ac:dyDescent="0.25">
      <c r="A954" s="147" t="s">
        <v>26</v>
      </c>
      <c r="B954" s="147" t="s">
        <v>27</v>
      </c>
      <c r="C954" s="50" t="s">
        <v>166</v>
      </c>
      <c r="D954" s="91" t="s">
        <v>154</v>
      </c>
      <c r="E954" s="89" t="s">
        <v>155</v>
      </c>
      <c r="F954" s="34" t="s">
        <v>158</v>
      </c>
      <c r="G954" s="35" t="s">
        <v>156</v>
      </c>
      <c r="H954" s="51" t="s">
        <v>157</v>
      </c>
      <c r="I954" s="688"/>
      <c r="J954" s="205"/>
      <c r="N954" s="580" t="s">
        <v>26</v>
      </c>
      <c r="O954" s="580" t="s">
        <v>27</v>
      </c>
      <c r="P954" s="471" t="s">
        <v>166</v>
      </c>
      <c r="Q954" s="581" t="s">
        <v>154</v>
      </c>
      <c r="R954" s="449" t="s">
        <v>155</v>
      </c>
      <c r="S954" s="450" t="s">
        <v>158</v>
      </c>
      <c r="T954" s="446"/>
      <c r="U954" s="446"/>
      <c r="V954" s="446"/>
      <c r="W954" s="446"/>
      <c r="X954" s="446"/>
      <c r="AH954" s="17"/>
      <c r="AI954" s="17"/>
    </row>
    <row r="955" spans="1:35" ht="15" customHeight="1" x14ac:dyDescent="0.25">
      <c r="A955" s="21">
        <f>A$5</f>
        <v>1182</v>
      </c>
      <c r="B955" s="148"/>
      <c r="C955" s="144">
        <v>1</v>
      </c>
      <c r="D955" s="247">
        <f>'Appendix J-2'!D64</f>
        <v>89</v>
      </c>
      <c r="E955" s="22">
        <f>IF(F955=0,0,F955/D955)</f>
        <v>219.38202247191012</v>
      </c>
      <c r="F955" s="247">
        <f>'Appendix J-2'!F64</f>
        <v>19525</v>
      </c>
      <c r="G955" s="24">
        <f>H955/F955</f>
        <v>321.9818294494238</v>
      </c>
      <c r="H955" s="250">
        <f>'Appendix J-2'!H64</f>
        <v>6286695.2199999997</v>
      </c>
      <c r="I955" s="688"/>
      <c r="J955" s="205"/>
      <c r="N955" s="453">
        <f>A955</f>
        <v>1182</v>
      </c>
      <c r="O955" s="582"/>
      <c r="P955" s="583">
        <v>1</v>
      </c>
      <c r="Q955" s="452">
        <f>D955+D1441</f>
        <v>89</v>
      </c>
      <c r="R955" s="451">
        <f>IF(S955=0,0,S955/Q955)</f>
        <v>219.38202247191012</v>
      </c>
      <c r="S955" s="452">
        <f>F955+F1441</f>
        <v>19525</v>
      </c>
      <c r="T955" s="446"/>
      <c r="U955" s="446"/>
      <c r="V955" s="446"/>
      <c r="W955" s="446"/>
      <c r="X955" s="446"/>
      <c r="AH955" s="17"/>
      <c r="AI955" s="17"/>
    </row>
    <row r="956" spans="1:35" x14ac:dyDescent="0.25">
      <c r="A956" s="21">
        <f>A$6</f>
        <v>1288</v>
      </c>
      <c r="B956" s="149">
        <f>(A956-A955)/A955</f>
        <v>8.9678510998307953E-2</v>
      </c>
      <c r="C956" s="52">
        <v>2</v>
      </c>
      <c r="D956" s="247">
        <f>'Appendix J-2'!I64</f>
        <v>145</v>
      </c>
      <c r="E956" s="22">
        <f t="shared" ref="E956:E963" si="516">IF(F956=0,0,F956/D956)</f>
        <v>228.7103448275862</v>
      </c>
      <c r="F956" s="247">
        <f>'Appendix J-2'!K64</f>
        <v>33163</v>
      </c>
      <c r="G956" s="24">
        <f t="shared" ref="G956:G963" si="517">H956/F956</f>
        <v>321.98269155384014</v>
      </c>
      <c r="H956" s="250">
        <f>'Appendix J-2'!M64</f>
        <v>10677912</v>
      </c>
      <c r="I956" s="688"/>
      <c r="J956" s="205"/>
      <c r="N956" s="453">
        <f t="shared" ref="N956:N969" si="518">A956</f>
        <v>1288</v>
      </c>
      <c r="O956" s="584">
        <f>(N956-N955)/N955</f>
        <v>8.9678510998307953E-2</v>
      </c>
      <c r="P956" s="585">
        <v>2</v>
      </c>
      <c r="Q956" s="452">
        <f t="shared" ref="Q956:Q963" si="519">D956+D1442</f>
        <v>145</v>
      </c>
      <c r="R956" s="451">
        <f t="shared" ref="R956:R963" si="520">IF(S956=0,0,S956/Q956)</f>
        <v>228.7103448275862</v>
      </c>
      <c r="S956" s="452">
        <f t="shared" ref="S956:S963" si="521">F956+F1442</f>
        <v>33163</v>
      </c>
      <c r="T956" s="446"/>
      <c r="U956" s="446"/>
      <c r="V956" s="446"/>
      <c r="W956" s="446"/>
      <c r="X956" s="446"/>
      <c r="AH956" s="17"/>
      <c r="AI956" s="17"/>
    </row>
    <row r="957" spans="1:35" x14ac:dyDescent="0.25">
      <c r="A957" s="21">
        <f>A$7</f>
        <v>1495</v>
      </c>
      <c r="B957" s="149">
        <f t="shared" ref="B957:B969" si="522">(A957-A956)/A956</f>
        <v>0.16071428571428573</v>
      </c>
      <c r="C957" s="52">
        <v>3</v>
      </c>
      <c r="D957" s="247">
        <f>'Appendix J-2'!N64</f>
        <v>187</v>
      </c>
      <c r="E957" s="22">
        <f t="shared" si="516"/>
        <v>273.86631016042782</v>
      </c>
      <c r="F957" s="247">
        <f>'Appendix J-2'!P64</f>
        <v>51213</v>
      </c>
      <c r="G957" s="24">
        <f t="shared" si="517"/>
        <v>321.85409798293404</v>
      </c>
      <c r="H957" s="248">
        <f>'Appendix J-2'!R64</f>
        <v>16483113.92</v>
      </c>
      <c r="I957" s="688"/>
      <c r="J957" s="205"/>
      <c r="N957" s="453">
        <f t="shared" si="518"/>
        <v>1495</v>
      </c>
      <c r="O957" s="584">
        <f t="shared" ref="O957:O969" si="523">(N957-N956)/N956</f>
        <v>0.16071428571428573</v>
      </c>
      <c r="P957" s="585">
        <v>3</v>
      </c>
      <c r="Q957" s="452">
        <f t="shared" si="519"/>
        <v>187</v>
      </c>
      <c r="R957" s="451">
        <f t="shared" si="520"/>
        <v>273.86631016042782</v>
      </c>
      <c r="S957" s="452">
        <f t="shared" si="521"/>
        <v>51213</v>
      </c>
      <c r="T957" s="446"/>
      <c r="U957" s="446"/>
      <c r="V957" s="446"/>
      <c r="W957" s="446"/>
      <c r="X957" s="446"/>
      <c r="AH957" s="17"/>
      <c r="AI957" s="17"/>
    </row>
    <row r="958" spans="1:35" x14ac:dyDescent="0.25">
      <c r="A958" s="21">
        <f>A$8</f>
        <v>1484</v>
      </c>
      <c r="B958" s="149">
        <f t="shared" si="522"/>
        <v>-7.3578595317725752E-3</v>
      </c>
      <c r="C958" s="52">
        <f t="shared" ref="C958:C969" si="524">C957+1</f>
        <v>4</v>
      </c>
      <c r="D958" s="247">
        <f>'Appendix J-2'!S64</f>
        <v>222</v>
      </c>
      <c r="E958" s="22">
        <f t="shared" si="516"/>
        <v>258.75675675675677</v>
      </c>
      <c r="F958" s="247">
        <f>'Appendix J-2'!U64</f>
        <v>57444</v>
      </c>
      <c r="G958" s="24">
        <f t="shared" si="517"/>
        <v>321.69116321983148</v>
      </c>
      <c r="H958" s="248">
        <f>'Appendix J-2'!W64</f>
        <v>18479227.18</v>
      </c>
      <c r="I958" s="688"/>
      <c r="J958" s="205"/>
      <c r="N958" s="453">
        <f t="shared" si="518"/>
        <v>1484</v>
      </c>
      <c r="O958" s="584">
        <f t="shared" si="523"/>
        <v>-7.3578595317725752E-3</v>
      </c>
      <c r="P958" s="585">
        <f t="shared" ref="P958:P969" si="525">P957+1</f>
        <v>4</v>
      </c>
      <c r="Q958" s="452">
        <f t="shared" si="519"/>
        <v>222</v>
      </c>
      <c r="R958" s="451">
        <f t="shared" si="520"/>
        <v>258.75675675675677</v>
      </c>
      <c r="S958" s="452">
        <f t="shared" si="521"/>
        <v>57444</v>
      </c>
      <c r="T958" s="446"/>
      <c r="U958" s="446"/>
      <c r="V958" s="446"/>
      <c r="W958" s="446"/>
      <c r="X958" s="446"/>
      <c r="AH958" s="17"/>
      <c r="AI958" s="17"/>
    </row>
    <row r="959" spans="1:35" x14ac:dyDescent="0.25">
      <c r="A959" s="21">
        <f>A$9</f>
        <v>1528</v>
      </c>
      <c r="B959" s="149">
        <f t="shared" si="522"/>
        <v>2.9649595687331536E-2</v>
      </c>
      <c r="C959" s="52">
        <f t="shared" si="524"/>
        <v>5</v>
      </c>
      <c r="D959" s="249">
        <f>'Appendix J-2'!X64</f>
        <v>238</v>
      </c>
      <c r="E959" s="22">
        <f t="shared" si="516"/>
        <v>271.92436974789916</v>
      </c>
      <c r="F959" s="247">
        <f>'Appendix J-2'!Z64</f>
        <v>64718</v>
      </c>
      <c r="G959" s="24">
        <f t="shared" si="517"/>
        <v>321.03333616613617</v>
      </c>
      <c r="H959" s="248">
        <f>'Appendix J-2'!AB64</f>
        <v>20776635.449999999</v>
      </c>
      <c r="I959" s="688"/>
      <c r="J959" s="205"/>
      <c r="N959" s="453">
        <f t="shared" si="518"/>
        <v>1528</v>
      </c>
      <c r="O959" s="584">
        <f t="shared" si="523"/>
        <v>2.9649595687331536E-2</v>
      </c>
      <c r="P959" s="585">
        <f t="shared" si="525"/>
        <v>5</v>
      </c>
      <c r="Q959" s="452">
        <f t="shared" si="519"/>
        <v>238</v>
      </c>
      <c r="R959" s="451">
        <f t="shared" si="520"/>
        <v>271.92436974789916</v>
      </c>
      <c r="S959" s="452">
        <f t="shared" si="521"/>
        <v>64718</v>
      </c>
      <c r="T959" s="446"/>
      <c r="U959" s="446"/>
      <c r="V959" s="446"/>
      <c r="W959" s="446"/>
      <c r="X959" s="446"/>
      <c r="AH959" s="17"/>
      <c r="AI959" s="17"/>
    </row>
    <row r="960" spans="1:35" x14ac:dyDescent="0.25">
      <c r="A960" s="21">
        <f>A$10</f>
        <v>1592</v>
      </c>
      <c r="B960" s="149">
        <f t="shared" si="522"/>
        <v>4.1884816753926704E-2</v>
      </c>
      <c r="C960" s="52">
        <f t="shared" si="524"/>
        <v>6</v>
      </c>
      <c r="D960" s="249">
        <f>'Appendix J-2'!AC64</f>
        <v>391</v>
      </c>
      <c r="E960" s="22">
        <f t="shared" si="516"/>
        <v>158.64194373401534</v>
      </c>
      <c r="F960" s="249">
        <f>'Appendix J-2'!AE64</f>
        <v>62029</v>
      </c>
      <c r="G960" s="24">
        <f t="shared" si="517"/>
        <v>317.96573941221044</v>
      </c>
      <c r="H960" s="248">
        <f>'Appendix J-2'!AG64</f>
        <v>19723096.850000001</v>
      </c>
      <c r="I960" s="688"/>
      <c r="J960" s="205"/>
      <c r="N960" s="453">
        <f t="shared" si="518"/>
        <v>1592</v>
      </c>
      <c r="O960" s="584">
        <f t="shared" si="523"/>
        <v>4.1884816753926704E-2</v>
      </c>
      <c r="P960" s="585">
        <f t="shared" si="525"/>
        <v>6</v>
      </c>
      <c r="Q960" s="452">
        <f t="shared" si="519"/>
        <v>391</v>
      </c>
      <c r="R960" s="451">
        <f t="shared" si="520"/>
        <v>158.64194373401534</v>
      </c>
      <c r="S960" s="452">
        <f t="shared" si="521"/>
        <v>62029</v>
      </c>
      <c r="T960" s="446"/>
      <c r="U960" s="446"/>
      <c r="V960" s="446"/>
      <c r="W960" s="446"/>
      <c r="X960" s="446"/>
      <c r="AH960" s="17"/>
      <c r="AI960" s="17"/>
    </row>
    <row r="961" spans="1:35" x14ac:dyDescent="0.25">
      <c r="A961" s="21">
        <f>A$11</f>
        <v>1642</v>
      </c>
      <c r="B961" s="149">
        <f t="shared" si="522"/>
        <v>3.1407035175879394E-2</v>
      </c>
      <c r="C961" s="52">
        <f t="shared" si="524"/>
        <v>7</v>
      </c>
      <c r="D961" s="249">
        <f>'Appendix J-2'!AH64</f>
        <v>391</v>
      </c>
      <c r="E961" s="22">
        <f t="shared" si="516"/>
        <v>154.6010230179028</v>
      </c>
      <c r="F961" s="249">
        <f>'Appendix J-2'!AJ64</f>
        <v>60449</v>
      </c>
      <c r="G961" s="24">
        <f t="shared" si="517"/>
        <v>321.62280666346834</v>
      </c>
      <c r="H961" s="248">
        <f>'Appendix J-2'!AL64</f>
        <v>19441777.039999999</v>
      </c>
      <c r="I961" s="688"/>
      <c r="J961" s="205"/>
      <c r="N961" s="453">
        <f t="shared" si="518"/>
        <v>1642</v>
      </c>
      <c r="O961" s="584">
        <f t="shared" si="523"/>
        <v>3.1407035175879394E-2</v>
      </c>
      <c r="P961" s="585">
        <f t="shared" si="525"/>
        <v>7</v>
      </c>
      <c r="Q961" s="452">
        <f t="shared" si="519"/>
        <v>441</v>
      </c>
      <c r="R961" s="451">
        <f t="shared" si="520"/>
        <v>149.15192743764172</v>
      </c>
      <c r="S961" s="452">
        <f t="shared" si="521"/>
        <v>65776</v>
      </c>
      <c r="T961" s="682" t="s">
        <v>610</v>
      </c>
      <c r="U961" s="683"/>
      <c r="V961" s="683"/>
      <c r="W961" s="683"/>
      <c r="X961" s="683"/>
      <c r="AH961" s="17"/>
      <c r="AI961" s="17"/>
    </row>
    <row r="962" spans="1:35" x14ac:dyDescent="0.25">
      <c r="A962" s="21">
        <f>A$12</f>
        <v>1675</v>
      </c>
      <c r="B962" s="149">
        <f t="shared" si="522"/>
        <v>2.0097442143727162E-2</v>
      </c>
      <c r="C962" s="20">
        <f t="shared" si="524"/>
        <v>8</v>
      </c>
      <c r="D962" s="249">
        <f>'Appendix J-2'!AM64</f>
        <v>226</v>
      </c>
      <c r="E962" s="22">
        <f t="shared" si="516"/>
        <v>258.07522123893807</v>
      </c>
      <c r="F962" s="249">
        <f>'Appendix J-2'!AO64</f>
        <v>58325</v>
      </c>
      <c r="G962" s="24">
        <f t="shared" si="517"/>
        <v>345.30476810972999</v>
      </c>
      <c r="H962" s="248">
        <f>'Appendix J-2'!AQ64</f>
        <v>20139900.600000001</v>
      </c>
      <c r="I962" s="688"/>
      <c r="J962" s="205"/>
      <c r="N962" s="453">
        <f t="shared" si="518"/>
        <v>1675</v>
      </c>
      <c r="O962" s="584">
        <f t="shared" si="523"/>
        <v>2.0097442143727162E-2</v>
      </c>
      <c r="P962" s="586">
        <f t="shared" si="525"/>
        <v>8</v>
      </c>
      <c r="Q962" s="452">
        <f t="shared" si="519"/>
        <v>284</v>
      </c>
      <c r="R962" s="451">
        <f t="shared" si="520"/>
        <v>262.49295774647885</v>
      </c>
      <c r="S962" s="452">
        <f t="shared" si="521"/>
        <v>74548</v>
      </c>
      <c r="T962" s="446"/>
      <c r="U962" s="684" t="s">
        <v>154</v>
      </c>
      <c r="V962" s="684"/>
      <c r="W962" s="684" t="s">
        <v>609</v>
      </c>
      <c r="X962" s="684"/>
      <c r="AH962" s="17"/>
      <c r="AI962" s="17"/>
    </row>
    <row r="963" spans="1:35" x14ac:dyDescent="0.25">
      <c r="A963" s="21">
        <f>A$13</f>
        <v>1739</v>
      </c>
      <c r="B963" s="149">
        <f t="shared" si="522"/>
        <v>3.8208955223880597E-2</v>
      </c>
      <c r="C963" s="20">
        <f t="shared" si="524"/>
        <v>9</v>
      </c>
      <c r="D963" s="249">
        <f>'Appendix J-2'!AR64</f>
        <v>214</v>
      </c>
      <c r="E963" s="22">
        <f t="shared" si="516"/>
        <v>272.85981308411215</v>
      </c>
      <c r="F963" s="249">
        <f>'Appendix J-2'!AT64</f>
        <v>58392</v>
      </c>
      <c r="G963" s="24">
        <f t="shared" si="517"/>
        <v>339.32522194821206</v>
      </c>
      <c r="H963" s="248">
        <f>'Appendix J-2'!AV64</f>
        <v>19813878.359999999</v>
      </c>
      <c r="I963" s="688"/>
      <c r="J963" s="205"/>
      <c r="N963" s="453">
        <f t="shared" si="518"/>
        <v>1739</v>
      </c>
      <c r="O963" s="584">
        <f t="shared" si="523"/>
        <v>3.8208955223880597E-2</v>
      </c>
      <c r="P963" s="586">
        <f t="shared" si="525"/>
        <v>9</v>
      </c>
      <c r="Q963" s="452">
        <f t="shared" si="519"/>
        <v>321</v>
      </c>
      <c r="R963" s="451">
        <f t="shared" si="520"/>
        <v>246.01557632398755</v>
      </c>
      <c r="S963" s="452">
        <f t="shared" si="521"/>
        <v>78971</v>
      </c>
      <c r="T963" s="446"/>
      <c r="U963" s="456" t="s">
        <v>608</v>
      </c>
      <c r="V963" s="456" t="s">
        <v>578</v>
      </c>
      <c r="W963" s="456" t="s">
        <v>608</v>
      </c>
      <c r="X963" s="456" t="s">
        <v>578</v>
      </c>
      <c r="AH963" s="17"/>
      <c r="AI963" s="17"/>
    </row>
    <row r="964" spans="1:35" x14ac:dyDescent="0.25">
      <c r="A964" s="21">
        <f>A$14</f>
        <v>1752</v>
      </c>
      <c r="B964" s="149">
        <f t="shared" si="522"/>
        <v>7.4755606670500289E-3</v>
      </c>
      <c r="C964" s="20">
        <f t="shared" si="524"/>
        <v>10</v>
      </c>
      <c r="D964" s="21">
        <f>AN834</f>
        <v>150</v>
      </c>
      <c r="E964" s="22">
        <f>IF(TREND($E$955:$E$963,$C$955:$C$963,C964)&lt;365,TREND($E$955:$E$963,$C$955:$C$963,C964),365)</f>
        <v>229.92645648009469</v>
      </c>
      <c r="F964" s="21">
        <f>D964*E964</f>
        <v>34488.968472014203</v>
      </c>
      <c r="G964" s="24">
        <f>'DDS Rates for Amend'!BF17</f>
        <v>330.71</v>
      </c>
      <c r="H964" s="33">
        <f>F964*G964</f>
        <v>11405846.763379816</v>
      </c>
      <c r="I964" s="688"/>
      <c r="J964" s="205"/>
      <c r="N964" s="453">
        <f t="shared" si="518"/>
        <v>1752</v>
      </c>
      <c r="O964" s="584">
        <f t="shared" si="523"/>
        <v>7.4755606670500289E-3</v>
      </c>
      <c r="P964" s="586">
        <f t="shared" si="525"/>
        <v>10</v>
      </c>
      <c r="Q964" s="453">
        <f>ROUND((TREND($Q$962:$Q$963,$N$962:$N$963,N964)),0)</f>
        <v>329</v>
      </c>
      <c r="R964" s="451">
        <f>IF(TREND($R$955:$R$963,$N$955:$N$963,N964)&lt;365,TREND($R$955:$R$963,$N$955:$N$963,N964),365)</f>
        <v>225.90533419191954</v>
      </c>
      <c r="S964" s="453">
        <f>Q964*R964</f>
        <v>74322.854949141532</v>
      </c>
      <c r="T964" s="446">
        <v>10</v>
      </c>
      <c r="U964" s="457">
        <f>Q964*$AB$834</f>
        <v>219.33333333333331</v>
      </c>
      <c r="V964" s="457">
        <f>Q964*$AC$834</f>
        <v>109.66666666666666</v>
      </c>
      <c r="W964" s="457">
        <f>R964*$AF$834</f>
        <v>167.03681445257837</v>
      </c>
      <c r="X964" s="457">
        <f>R964*$AG$834</f>
        <v>58.868519739341181</v>
      </c>
      <c r="AH964" s="17"/>
      <c r="AI964" s="17"/>
    </row>
    <row r="965" spans="1:35" x14ac:dyDescent="0.25">
      <c r="A965" s="21">
        <f>A$15</f>
        <v>1822</v>
      </c>
      <c r="B965" s="149">
        <f t="shared" si="522"/>
        <v>3.9954337899543377E-2</v>
      </c>
      <c r="C965" s="20">
        <f t="shared" si="524"/>
        <v>11</v>
      </c>
      <c r="D965" s="21">
        <f>AQ834</f>
        <v>156</v>
      </c>
      <c r="E965" s="22">
        <f t="shared" ref="E965:E969" si="526">IF(TREND($E$955:$E$963,$C$955:$C$963,C965)&lt;365,TREND($E$955:$E$963,$C$955:$C$963,C965),365)</f>
        <v>229.31579655301258</v>
      </c>
      <c r="F965" s="21">
        <f t="shared" ref="F965:F969" si="527">D965*E965</f>
        <v>35773.264262269964</v>
      </c>
      <c r="G965" s="24">
        <f>'DDS Rates for Amend'!BF18</f>
        <v>339.30845999999997</v>
      </c>
      <c r="H965" s="33">
        <f t="shared" ref="H965:H969" si="528">F965*G965</f>
        <v>12138171.206003856</v>
      </c>
      <c r="I965" s="688"/>
      <c r="J965" s="205"/>
      <c r="N965" s="453">
        <f t="shared" si="518"/>
        <v>1822</v>
      </c>
      <c r="O965" s="584">
        <f t="shared" si="523"/>
        <v>3.9954337899543377E-2</v>
      </c>
      <c r="P965" s="586">
        <f t="shared" si="525"/>
        <v>11</v>
      </c>
      <c r="Q965" s="453">
        <f t="shared" ref="Q965:Q969" si="529">ROUND((TREND($Q$962:$Q$963,$N$962:$N$963,N965)),0)</f>
        <v>369</v>
      </c>
      <c r="R965" s="451">
        <f t="shared" ref="R965:R969" si="530">IF(TREND($R$955:$R$963,$N$955:$N$963,N965)&lt;365,TREND($R$955:$R$963,$N$955:$N$963,N965),365)</f>
        <v>224.73613489021167</v>
      </c>
      <c r="S965" s="453">
        <f t="shared" ref="S965:S969" si="531">Q965*R965</f>
        <v>82927.633774488102</v>
      </c>
      <c r="T965" s="446">
        <v>11</v>
      </c>
      <c r="U965" s="457">
        <f t="shared" ref="U965:U969" si="532">Q965*$AB$834</f>
        <v>246</v>
      </c>
      <c r="V965" s="457">
        <f t="shared" ref="V965:V969" si="533">Q965*$AC$834</f>
        <v>123</v>
      </c>
      <c r="W965" s="457">
        <f t="shared" ref="W965:W969" si="534">R965*$AF$834</f>
        <v>166.17229601384355</v>
      </c>
      <c r="X965" s="457">
        <f t="shared" ref="X965:X969" si="535">R965*$AG$834</f>
        <v>58.563838876368109</v>
      </c>
      <c r="AH965" s="17"/>
      <c r="AI965" s="17"/>
    </row>
    <row r="966" spans="1:35" x14ac:dyDescent="0.25">
      <c r="A966" s="21">
        <f>A$16</f>
        <v>1872</v>
      </c>
      <c r="B966" s="149">
        <f t="shared" si="522"/>
        <v>2.7442371020856202E-2</v>
      </c>
      <c r="C966" s="20">
        <f t="shared" si="524"/>
        <v>12</v>
      </c>
      <c r="D966" s="21">
        <f>AT834</f>
        <v>160</v>
      </c>
      <c r="E966" s="22">
        <f t="shared" si="526"/>
        <v>228.70513662593044</v>
      </c>
      <c r="F966" s="21">
        <f t="shared" si="527"/>
        <v>36592.82186014887</v>
      </c>
      <c r="G966" s="24">
        <f>'DDS Rates for Amend'!BF19</f>
        <v>348.13047995999995</v>
      </c>
      <c r="H966" s="33">
        <f t="shared" si="528"/>
        <v>12739076.637264404</v>
      </c>
      <c r="I966" s="688"/>
      <c r="J966" s="205"/>
      <c r="N966" s="453">
        <f t="shared" si="518"/>
        <v>1872</v>
      </c>
      <c r="O966" s="584">
        <f t="shared" si="523"/>
        <v>2.7442371020856202E-2</v>
      </c>
      <c r="P966" s="586">
        <f t="shared" si="525"/>
        <v>12</v>
      </c>
      <c r="Q966" s="453">
        <f t="shared" si="529"/>
        <v>398</v>
      </c>
      <c r="R966" s="451">
        <f t="shared" si="530"/>
        <v>223.90099253184891</v>
      </c>
      <c r="S966" s="453">
        <f t="shared" si="531"/>
        <v>89112.595027675867</v>
      </c>
      <c r="T966" s="446">
        <v>12</v>
      </c>
      <c r="U966" s="457">
        <f t="shared" si="532"/>
        <v>265.33333333333331</v>
      </c>
      <c r="V966" s="457">
        <f t="shared" si="533"/>
        <v>132.66666666666666</v>
      </c>
      <c r="W966" s="457">
        <f t="shared" si="534"/>
        <v>165.55478284331872</v>
      </c>
      <c r="X966" s="457">
        <f t="shared" si="535"/>
        <v>58.346209688530209</v>
      </c>
      <c r="AH966" s="17"/>
      <c r="AI966" s="17"/>
    </row>
    <row r="967" spans="1:35" x14ac:dyDescent="0.25">
      <c r="A967" s="21">
        <f>A$17</f>
        <v>1902</v>
      </c>
      <c r="B967" s="149">
        <f t="shared" si="522"/>
        <v>1.6025641025641024E-2</v>
      </c>
      <c r="C967" s="20">
        <f t="shared" si="524"/>
        <v>13</v>
      </c>
      <c r="D967" s="21">
        <f>AW834</f>
        <v>163</v>
      </c>
      <c r="E967" s="22">
        <f t="shared" si="526"/>
        <v>228.0944766988483</v>
      </c>
      <c r="F967" s="21">
        <f t="shared" si="527"/>
        <v>37179.399701912269</v>
      </c>
      <c r="G967" s="24">
        <f>'DDS Rates for Amend'!BF20</f>
        <v>357.18187243895994</v>
      </c>
      <c r="H967" s="33">
        <f t="shared" si="528"/>
        <v>13279807.601685533</v>
      </c>
      <c r="I967" s="688"/>
      <c r="J967" s="205"/>
      <c r="N967" s="453">
        <f t="shared" si="518"/>
        <v>1902</v>
      </c>
      <c r="O967" s="584">
        <f t="shared" si="523"/>
        <v>1.6025641025641024E-2</v>
      </c>
      <c r="P967" s="586">
        <f t="shared" si="525"/>
        <v>13</v>
      </c>
      <c r="Q967" s="453">
        <f t="shared" si="529"/>
        <v>415</v>
      </c>
      <c r="R967" s="451">
        <f t="shared" si="530"/>
        <v>223.39990711683126</v>
      </c>
      <c r="S967" s="453">
        <f t="shared" si="531"/>
        <v>92710.961453484968</v>
      </c>
      <c r="T967" s="446">
        <v>13</v>
      </c>
      <c r="U967" s="457">
        <f t="shared" si="532"/>
        <v>276.66666666666663</v>
      </c>
      <c r="V967" s="457">
        <f t="shared" si="533"/>
        <v>138.33333333333331</v>
      </c>
      <c r="W967" s="457">
        <f t="shared" si="534"/>
        <v>165.18427494100379</v>
      </c>
      <c r="X967" s="457">
        <f t="shared" si="535"/>
        <v>58.215632175827466</v>
      </c>
      <c r="AH967" s="17"/>
      <c r="AI967" s="17"/>
    </row>
    <row r="968" spans="1:35" x14ac:dyDescent="0.25">
      <c r="A968" s="21">
        <f>A$18</f>
        <v>1932</v>
      </c>
      <c r="B968" s="149">
        <f t="shared" si="522"/>
        <v>1.5772870662460567E-2</v>
      </c>
      <c r="C968" s="20">
        <f t="shared" si="524"/>
        <v>14</v>
      </c>
      <c r="D968" s="21">
        <f>AZ834</f>
        <v>165</v>
      </c>
      <c r="E968" s="22">
        <f t="shared" si="526"/>
        <v>227.48381677176619</v>
      </c>
      <c r="F968" s="21">
        <f t="shared" si="527"/>
        <v>37534.82976734142</v>
      </c>
      <c r="G968" s="24">
        <f>'DDS Rates for Amend'!BF21</f>
        <v>366.46860112237289</v>
      </c>
      <c r="H968" s="33">
        <f t="shared" si="528"/>
        <v>13755336.558204012</v>
      </c>
      <c r="I968" s="688"/>
      <c r="J968" s="205"/>
      <c r="N968" s="453">
        <f t="shared" si="518"/>
        <v>1932</v>
      </c>
      <c r="O968" s="584">
        <f t="shared" si="523"/>
        <v>1.5772870662460567E-2</v>
      </c>
      <c r="P968" s="586">
        <f t="shared" si="525"/>
        <v>14</v>
      </c>
      <c r="Q968" s="453">
        <f t="shared" si="529"/>
        <v>433</v>
      </c>
      <c r="R968" s="451">
        <f t="shared" si="530"/>
        <v>222.89882170181363</v>
      </c>
      <c r="S968" s="453">
        <f t="shared" si="531"/>
        <v>96515.189796885301</v>
      </c>
      <c r="T968" s="446">
        <v>14</v>
      </c>
      <c r="U968" s="457">
        <f t="shared" si="532"/>
        <v>288.66666666666663</v>
      </c>
      <c r="V968" s="457">
        <f t="shared" si="533"/>
        <v>144.33333333333331</v>
      </c>
      <c r="W968" s="457">
        <f t="shared" si="534"/>
        <v>164.81376703868889</v>
      </c>
      <c r="X968" s="457">
        <f t="shared" si="535"/>
        <v>58.08505466312473</v>
      </c>
      <c r="AH968" s="17"/>
      <c r="AI968" s="17"/>
    </row>
    <row r="969" spans="1:35" x14ac:dyDescent="0.25">
      <c r="A969" s="21">
        <f>A$19</f>
        <v>1962</v>
      </c>
      <c r="B969" s="149">
        <f t="shared" si="522"/>
        <v>1.5527950310559006E-2</v>
      </c>
      <c r="C969" s="20">
        <f t="shared" si="524"/>
        <v>15</v>
      </c>
      <c r="D969" s="21">
        <f>BC834</f>
        <v>168</v>
      </c>
      <c r="E969" s="22">
        <f t="shared" si="526"/>
        <v>226.87315684468405</v>
      </c>
      <c r="F969" s="21">
        <f t="shared" si="527"/>
        <v>38114.690349906923</v>
      </c>
      <c r="G969" s="24">
        <f>'DDS Rates for Amend'!BF22</f>
        <v>375.99678475155457</v>
      </c>
      <c r="H969" s="33">
        <f t="shared" si="528"/>
        <v>14331001.023366107</v>
      </c>
      <c r="I969" s="689"/>
      <c r="J969" s="205"/>
      <c r="K969" s="285">
        <f>SUM(H955:H969)</f>
        <v>229471476.40990371</v>
      </c>
      <c r="L969" s="17">
        <f>IF(K969='Appendix J-2'!CD64,0,error)</f>
        <v>0</v>
      </c>
      <c r="N969" s="453">
        <f t="shared" si="518"/>
        <v>1962</v>
      </c>
      <c r="O969" s="584">
        <f t="shared" si="523"/>
        <v>1.5527950310559006E-2</v>
      </c>
      <c r="P969" s="586">
        <f t="shared" si="525"/>
        <v>15</v>
      </c>
      <c r="Q969" s="453">
        <f t="shared" si="529"/>
        <v>450</v>
      </c>
      <c r="R969" s="451">
        <f t="shared" si="530"/>
        <v>222.39773628679598</v>
      </c>
      <c r="S969" s="453">
        <f t="shared" si="531"/>
        <v>100078.9813290582</v>
      </c>
      <c r="T969" s="446">
        <v>15</v>
      </c>
      <c r="U969" s="457">
        <f t="shared" si="532"/>
        <v>300</v>
      </c>
      <c r="V969" s="457">
        <f t="shared" si="533"/>
        <v>150</v>
      </c>
      <c r="W969" s="457">
        <f t="shared" si="534"/>
        <v>164.443259136374</v>
      </c>
      <c r="X969" s="457">
        <f t="shared" si="535"/>
        <v>57.954477150421987</v>
      </c>
      <c r="AH969" s="17"/>
      <c r="AI969" s="17"/>
    </row>
    <row r="970" spans="1:35" x14ac:dyDescent="0.25">
      <c r="C970"/>
      <c r="I970" s="568"/>
      <c r="J970"/>
      <c r="N970" s="446"/>
      <c r="O970" s="446"/>
      <c r="P970" s="446"/>
      <c r="Q970" s="466"/>
      <c r="R970" s="454"/>
      <c r="S970" s="446"/>
      <c r="T970" s="446"/>
      <c r="U970" s="446"/>
      <c r="V970" s="446"/>
      <c r="W970" s="446"/>
      <c r="X970" s="446"/>
      <c r="AH970" s="17"/>
      <c r="AI970" s="17"/>
    </row>
    <row r="971" spans="1:35" x14ac:dyDescent="0.25">
      <c r="A971" s="271" t="s">
        <v>116</v>
      </c>
      <c r="B971" s="272"/>
      <c r="C971" s="272"/>
      <c r="D971" s="292" t="str">
        <f>'Appendix J-2'!B65</f>
        <v>Assistance</v>
      </c>
      <c r="E971" s="223" t="str">
        <f>'Appendix J-2'!C58</f>
        <v>1 day</v>
      </c>
      <c r="F971" s="690"/>
      <c r="G971" s="690"/>
      <c r="H971" s="690"/>
      <c r="I971" s="687" t="s">
        <v>1109</v>
      </c>
      <c r="J971" s="205"/>
      <c r="N971" s="577" t="s">
        <v>571</v>
      </c>
      <c r="O971" s="578"/>
      <c r="P971" s="578"/>
      <c r="Q971" s="579"/>
      <c r="R971" s="447"/>
      <c r="S971" s="448"/>
      <c r="T971" s="446"/>
      <c r="U971" s="446"/>
      <c r="V971" s="446"/>
      <c r="W971" s="446"/>
      <c r="X971" s="446"/>
      <c r="AH971" s="17"/>
      <c r="AI971" s="17"/>
    </row>
    <row r="972" spans="1:35" ht="30" x14ac:dyDescent="0.25">
      <c r="A972" s="147" t="s">
        <v>26</v>
      </c>
      <c r="B972" s="147" t="s">
        <v>27</v>
      </c>
      <c r="C972" s="50" t="s">
        <v>166</v>
      </c>
      <c r="D972" s="91" t="s">
        <v>154</v>
      </c>
      <c r="E972" s="89" t="s">
        <v>155</v>
      </c>
      <c r="F972" s="34" t="s">
        <v>158</v>
      </c>
      <c r="G972" s="35" t="s">
        <v>156</v>
      </c>
      <c r="H972" s="51" t="s">
        <v>157</v>
      </c>
      <c r="I972" s="688"/>
      <c r="J972" s="205"/>
      <c r="N972" s="580" t="s">
        <v>26</v>
      </c>
      <c r="O972" s="580" t="s">
        <v>27</v>
      </c>
      <c r="P972" s="471" t="s">
        <v>166</v>
      </c>
      <c r="Q972" s="581" t="s">
        <v>154</v>
      </c>
      <c r="R972" s="449" t="s">
        <v>155</v>
      </c>
      <c r="S972" s="450" t="s">
        <v>158</v>
      </c>
      <c r="T972" s="446"/>
      <c r="U972" s="446"/>
      <c r="V972" s="446"/>
      <c r="W972" s="446"/>
      <c r="X972" s="446"/>
      <c r="AH972" s="17"/>
      <c r="AI972" s="17"/>
    </row>
    <row r="973" spans="1:35" ht="15" customHeight="1" x14ac:dyDescent="0.25">
      <c r="A973" s="21">
        <f>A$5</f>
        <v>1182</v>
      </c>
      <c r="B973" s="148"/>
      <c r="C973" s="144">
        <v>1</v>
      </c>
      <c r="D973" s="247">
        <f>'Appendix J-2'!D65</f>
        <v>13</v>
      </c>
      <c r="E973" s="22">
        <f>IF(F973=0,0,F973/D973)</f>
        <v>162.92307692307693</v>
      </c>
      <c r="F973" s="247">
        <f>'Appendix J-2'!F65</f>
        <v>2118</v>
      </c>
      <c r="G973" s="24">
        <f>H973/F973</f>
        <v>382.23512747875355</v>
      </c>
      <c r="H973" s="250">
        <f>'Appendix J-2'!H65</f>
        <v>809574</v>
      </c>
      <c r="I973" s="688"/>
      <c r="J973" s="205"/>
      <c r="N973" s="453">
        <f>A973</f>
        <v>1182</v>
      </c>
      <c r="O973" s="582"/>
      <c r="P973" s="583">
        <v>1</v>
      </c>
      <c r="Q973" s="452">
        <f>D973+D1459</f>
        <v>13</v>
      </c>
      <c r="R973" s="451">
        <f>IF(S973=0,0,S973/Q973)</f>
        <v>162.92307692307693</v>
      </c>
      <c r="S973" s="452">
        <f>F973+F1459</f>
        <v>2118</v>
      </c>
      <c r="T973" s="446"/>
      <c r="U973" s="446"/>
      <c r="V973" s="446"/>
      <c r="W973" s="446"/>
      <c r="X973" s="446"/>
      <c r="AH973" s="17"/>
      <c r="AI973" s="17"/>
    </row>
    <row r="974" spans="1:35" x14ac:dyDescent="0.25">
      <c r="A974" s="21">
        <f>A$6</f>
        <v>1288</v>
      </c>
      <c r="B974" s="149">
        <f>(A974-A973)/A973</f>
        <v>8.9678510998307953E-2</v>
      </c>
      <c r="C974" s="52">
        <v>2</v>
      </c>
      <c r="D974" s="247">
        <f>'Appendix J-2'!I65</f>
        <v>8</v>
      </c>
      <c r="E974" s="22">
        <f t="shared" ref="E974:E981" si="536">IF(F974=0,0,F974/D974)</f>
        <v>149.875</v>
      </c>
      <c r="F974" s="247">
        <f>'Appendix J-2'!K65</f>
        <v>1199</v>
      </c>
      <c r="G974" s="24">
        <f t="shared" ref="G974:G981" si="537">H974/F974</f>
        <v>382.6947456213511</v>
      </c>
      <c r="H974" s="250">
        <f>'Appendix J-2'!M65</f>
        <v>458851</v>
      </c>
      <c r="I974" s="688"/>
      <c r="J974" s="205"/>
      <c r="N974" s="453">
        <f t="shared" ref="N974:N987" si="538">A974</f>
        <v>1288</v>
      </c>
      <c r="O974" s="584">
        <f>(N974-N973)/N973</f>
        <v>8.9678510998307953E-2</v>
      </c>
      <c r="P974" s="585">
        <v>2</v>
      </c>
      <c r="Q974" s="452">
        <f t="shared" ref="Q974:Q981" si="539">D974+D1460</f>
        <v>8</v>
      </c>
      <c r="R974" s="451">
        <f t="shared" ref="R974:R981" si="540">IF(S974=0,0,S974/Q974)</f>
        <v>149.875</v>
      </c>
      <c r="S974" s="452">
        <f t="shared" ref="S974:S981" si="541">F974+F1460</f>
        <v>1199</v>
      </c>
      <c r="T974" s="446"/>
      <c r="U974" s="446"/>
      <c r="V974" s="446"/>
      <c r="W974" s="446"/>
      <c r="X974" s="446"/>
      <c r="AH974" s="17"/>
      <c r="AI974" s="17"/>
    </row>
    <row r="975" spans="1:35" x14ac:dyDescent="0.25">
      <c r="A975" s="21">
        <f>A$7</f>
        <v>1495</v>
      </c>
      <c r="B975" s="149">
        <f t="shared" ref="B975:B987" si="542">(A975-A974)/A974</f>
        <v>0.16071428571428573</v>
      </c>
      <c r="C975" s="52">
        <v>3</v>
      </c>
      <c r="D975" s="247">
        <f>'Appendix J-2'!N65</f>
        <v>8</v>
      </c>
      <c r="E975" s="22">
        <f t="shared" si="536"/>
        <v>231.375</v>
      </c>
      <c r="F975" s="247">
        <f>'Appendix J-2'!P65</f>
        <v>1851</v>
      </c>
      <c r="G975" s="24">
        <f t="shared" si="537"/>
        <v>378.78545650999462</v>
      </c>
      <c r="H975" s="248">
        <f>'Appendix J-2'!R65</f>
        <v>701131.88</v>
      </c>
      <c r="I975" s="688"/>
      <c r="J975" s="205"/>
      <c r="N975" s="453">
        <f t="shared" si="538"/>
        <v>1495</v>
      </c>
      <c r="O975" s="584">
        <f t="shared" ref="O975:O987" si="543">(N975-N974)/N974</f>
        <v>0.16071428571428573</v>
      </c>
      <c r="P975" s="585">
        <v>3</v>
      </c>
      <c r="Q975" s="452">
        <f t="shared" si="539"/>
        <v>8</v>
      </c>
      <c r="R975" s="451">
        <f t="shared" si="540"/>
        <v>231.375</v>
      </c>
      <c r="S975" s="452">
        <f t="shared" si="541"/>
        <v>1851</v>
      </c>
      <c r="T975" s="446"/>
      <c r="U975" s="446"/>
      <c r="V975" s="446"/>
      <c r="W975" s="446"/>
      <c r="X975" s="446"/>
      <c r="AH975" s="17"/>
      <c r="AI975" s="17"/>
    </row>
    <row r="976" spans="1:35" x14ac:dyDescent="0.25">
      <c r="A976" s="21">
        <f>A$8</f>
        <v>1484</v>
      </c>
      <c r="B976" s="149">
        <f t="shared" si="542"/>
        <v>-7.3578595317725752E-3</v>
      </c>
      <c r="C976" s="52">
        <f t="shared" ref="C976:C987" si="544">C975+1</f>
        <v>4</v>
      </c>
      <c r="D976" s="247">
        <f>'Appendix J-2'!S65</f>
        <v>7</v>
      </c>
      <c r="E976" s="22">
        <f t="shared" si="536"/>
        <v>218.42857142857142</v>
      </c>
      <c r="F976" s="247">
        <f>'Appendix J-2'!U65</f>
        <v>1529</v>
      </c>
      <c r="G976" s="24">
        <f t="shared" si="537"/>
        <v>377.35203400915634</v>
      </c>
      <c r="H976" s="248">
        <f>'Appendix J-2'!W65</f>
        <v>576971.26</v>
      </c>
      <c r="I976" s="688"/>
      <c r="J976" s="205"/>
      <c r="N976" s="453">
        <f t="shared" si="538"/>
        <v>1484</v>
      </c>
      <c r="O976" s="584">
        <f t="shared" si="543"/>
        <v>-7.3578595317725752E-3</v>
      </c>
      <c r="P976" s="585">
        <f t="shared" ref="P976:P987" si="545">P975+1</f>
        <v>4</v>
      </c>
      <c r="Q976" s="452">
        <f t="shared" si="539"/>
        <v>7</v>
      </c>
      <c r="R976" s="451">
        <f t="shared" si="540"/>
        <v>218.42857142857142</v>
      </c>
      <c r="S976" s="452">
        <f t="shared" si="541"/>
        <v>1529</v>
      </c>
      <c r="T976" s="446"/>
      <c r="U976" s="446"/>
      <c r="V976" s="446"/>
      <c r="W976" s="446"/>
      <c r="X976" s="446"/>
      <c r="AH976" s="17"/>
      <c r="AI976" s="17"/>
    </row>
    <row r="977" spans="1:35" x14ac:dyDescent="0.25">
      <c r="A977" s="21">
        <f>A$9</f>
        <v>1528</v>
      </c>
      <c r="B977" s="149">
        <f t="shared" si="542"/>
        <v>2.9649595687331536E-2</v>
      </c>
      <c r="C977" s="52">
        <f t="shared" si="544"/>
        <v>5</v>
      </c>
      <c r="D977" s="247">
        <f>'Appendix J-2'!X65</f>
        <v>4</v>
      </c>
      <c r="E977" s="22">
        <f t="shared" si="536"/>
        <v>356.75</v>
      </c>
      <c r="F977" s="247">
        <f>'Appendix J-2'!Z65</f>
        <v>1427</v>
      </c>
      <c r="G977" s="24">
        <f t="shared" si="537"/>
        <v>376.6886895585144</v>
      </c>
      <c r="H977" s="248">
        <f>'Appendix J-2'!AB65</f>
        <v>537534.76</v>
      </c>
      <c r="I977" s="688"/>
      <c r="J977" s="205"/>
      <c r="N977" s="453">
        <f t="shared" si="538"/>
        <v>1528</v>
      </c>
      <c r="O977" s="584">
        <f t="shared" si="543"/>
        <v>2.9649595687331536E-2</v>
      </c>
      <c r="P977" s="585">
        <f t="shared" si="545"/>
        <v>5</v>
      </c>
      <c r="Q977" s="452">
        <f t="shared" si="539"/>
        <v>4</v>
      </c>
      <c r="R977" s="451">
        <f t="shared" si="540"/>
        <v>356.75</v>
      </c>
      <c r="S977" s="452">
        <f t="shared" si="541"/>
        <v>1427</v>
      </c>
      <c r="T977" s="446"/>
      <c r="U977" s="446"/>
      <c r="V977" s="446"/>
      <c r="W977" s="446"/>
      <c r="X977" s="446"/>
      <c r="AH977" s="17"/>
      <c r="AI977" s="17"/>
    </row>
    <row r="978" spans="1:35" x14ac:dyDescent="0.25">
      <c r="A978" s="21">
        <f>A$10</f>
        <v>1592</v>
      </c>
      <c r="B978" s="149">
        <f t="shared" si="542"/>
        <v>4.1884816753926704E-2</v>
      </c>
      <c r="C978" s="52">
        <f t="shared" si="544"/>
        <v>6</v>
      </c>
      <c r="D978" s="249">
        <f>'Appendix J-2'!AC65</f>
        <v>20</v>
      </c>
      <c r="E978" s="22">
        <f t="shared" si="536"/>
        <v>126.85</v>
      </c>
      <c r="F978" s="249">
        <f>'Appendix J-2'!AE65</f>
        <v>2537</v>
      </c>
      <c r="G978" s="24">
        <f t="shared" si="537"/>
        <v>376.76433582972015</v>
      </c>
      <c r="H978" s="248">
        <f>'Appendix J-2'!AG65</f>
        <v>955851.12</v>
      </c>
      <c r="I978" s="688"/>
      <c r="J978" s="205"/>
      <c r="N978" s="453">
        <f t="shared" si="538"/>
        <v>1592</v>
      </c>
      <c r="O978" s="584">
        <f t="shared" si="543"/>
        <v>4.1884816753926704E-2</v>
      </c>
      <c r="P978" s="585">
        <f t="shared" si="545"/>
        <v>6</v>
      </c>
      <c r="Q978" s="452">
        <f t="shared" si="539"/>
        <v>20</v>
      </c>
      <c r="R978" s="451">
        <f t="shared" si="540"/>
        <v>126.85</v>
      </c>
      <c r="S978" s="452">
        <f t="shared" si="541"/>
        <v>2537</v>
      </c>
      <c r="T978" s="446"/>
      <c r="U978" s="446"/>
      <c r="V978" s="446"/>
      <c r="W978" s="446"/>
      <c r="X978" s="446"/>
      <c r="AH978" s="17"/>
      <c r="AI978" s="17"/>
    </row>
    <row r="979" spans="1:35" x14ac:dyDescent="0.25">
      <c r="A979" s="21">
        <f>A$11</f>
        <v>1642</v>
      </c>
      <c r="B979" s="149">
        <f t="shared" si="542"/>
        <v>3.1407035175879394E-2</v>
      </c>
      <c r="C979" s="20">
        <f t="shared" si="544"/>
        <v>7</v>
      </c>
      <c r="D979" s="249">
        <f>'Appendix J-2'!AH65</f>
        <v>26</v>
      </c>
      <c r="E979" s="22">
        <f t="shared" si="536"/>
        <v>152.53846153846155</v>
      </c>
      <c r="F979" s="249">
        <f>'Appendix J-2'!AJ65</f>
        <v>3966</v>
      </c>
      <c r="G979" s="24">
        <f t="shared" si="537"/>
        <v>380.71856782652549</v>
      </c>
      <c r="H979" s="248">
        <f>'Appendix J-2'!AL65</f>
        <v>1509929.84</v>
      </c>
      <c r="I979" s="688"/>
      <c r="J979" s="205"/>
      <c r="N979" s="453">
        <f t="shared" si="538"/>
        <v>1642</v>
      </c>
      <c r="O979" s="584">
        <f t="shared" si="543"/>
        <v>3.1407035175879394E-2</v>
      </c>
      <c r="P979" s="586">
        <f t="shared" si="545"/>
        <v>7</v>
      </c>
      <c r="Q979" s="452">
        <f t="shared" si="539"/>
        <v>27</v>
      </c>
      <c r="R979" s="451">
        <f t="shared" si="540"/>
        <v>148.96296296296296</v>
      </c>
      <c r="S979" s="452">
        <f t="shared" si="541"/>
        <v>4022</v>
      </c>
      <c r="T979" s="682" t="s">
        <v>610</v>
      </c>
      <c r="U979" s="683"/>
      <c r="V979" s="683"/>
      <c r="W979" s="683"/>
      <c r="X979" s="683"/>
      <c r="AH979" s="17"/>
      <c r="AI979" s="17"/>
    </row>
    <row r="980" spans="1:35" x14ac:dyDescent="0.25">
      <c r="A980" s="21">
        <f>A$12</f>
        <v>1675</v>
      </c>
      <c r="B980" s="149">
        <f t="shared" si="542"/>
        <v>2.0097442143727162E-2</v>
      </c>
      <c r="C980" s="20">
        <f t="shared" si="544"/>
        <v>8</v>
      </c>
      <c r="D980" s="249">
        <f>'Appendix J-2'!AM65</f>
        <v>7</v>
      </c>
      <c r="E980" s="22">
        <f t="shared" si="536"/>
        <v>338.28571428571428</v>
      </c>
      <c r="F980" s="249">
        <f>'Appendix J-2'!AO65</f>
        <v>2368</v>
      </c>
      <c r="G980" s="24">
        <f t="shared" si="537"/>
        <v>410.36578547297302</v>
      </c>
      <c r="H980" s="248">
        <f>'Appendix J-2'!AQ65</f>
        <v>971746.18</v>
      </c>
      <c r="I980" s="688"/>
      <c r="J980" s="205"/>
      <c r="N980" s="453">
        <f t="shared" si="538"/>
        <v>1675</v>
      </c>
      <c r="O980" s="584">
        <f t="shared" si="543"/>
        <v>2.0097442143727162E-2</v>
      </c>
      <c r="P980" s="586">
        <f t="shared" si="545"/>
        <v>8</v>
      </c>
      <c r="Q980" s="452">
        <f t="shared" si="539"/>
        <v>8</v>
      </c>
      <c r="R980" s="451">
        <f t="shared" si="540"/>
        <v>338.5</v>
      </c>
      <c r="S980" s="452">
        <f t="shared" si="541"/>
        <v>2708</v>
      </c>
      <c r="T980" s="446"/>
      <c r="U980" s="684" t="s">
        <v>154</v>
      </c>
      <c r="V980" s="684"/>
      <c r="W980" s="684" t="s">
        <v>609</v>
      </c>
      <c r="X980" s="684"/>
      <c r="AH980" s="17"/>
      <c r="AI980" s="17"/>
    </row>
    <row r="981" spans="1:35" x14ac:dyDescent="0.25">
      <c r="A981" s="21">
        <f>A$13</f>
        <v>1739</v>
      </c>
      <c r="B981" s="149">
        <f t="shared" si="542"/>
        <v>3.8208955223880597E-2</v>
      </c>
      <c r="C981" s="20">
        <f t="shared" si="544"/>
        <v>9</v>
      </c>
      <c r="D981" s="249">
        <f>'Appendix J-2'!AR65</f>
        <v>8</v>
      </c>
      <c r="E981" s="22">
        <f t="shared" si="536"/>
        <v>288.375</v>
      </c>
      <c r="F981" s="249">
        <f>'Appendix J-2'!AT65</f>
        <v>2307</v>
      </c>
      <c r="G981" s="24">
        <f t="shared" si="537"/>
        <v>398.91973125270914</v>
      </c>
      <c r="H981" s="248">
        <f>'Appendix J-2'!AV65</f>
        <v>920307.82</v>
      </c>
      <c r="I981" s="688"/>
      <c r="J981" s="205"/>
      <c r="N981" s="453">
        <f t="shared" si="538"/>
        <v>1739</v>
      </c>
      <c r="O981" s="584">
        <f t="shared" si="543"/>
        <v>3.8208955223880597E-2</v>
      </c>
      <c r="P981" s="586">
        <f t="shared" si="545"/>
        <v>9</v>
      </c>
      <c r="Q981" s="452">
        <f t="shared" si="539"/>
        <v>9</v>
      </c>
      <c r="R981" s="451">
        <f t="shared" si="540"/>
        <v>279.66666666666669</v>
      </c>
      <c r="S981" s="452">
        <f t="shared" si="541"/>
        <v>2517</v>
      </c>
      <c r="T981" s="446"/>
      <c r="U981" s="456" t="s">
        <v>608</v>
      </c>
      <c r="V981" s="456" t="s">
        <v>578</v>
      </c>
      <c r="W981" s="456" t="s">
        <v>608</v>
      </c>
      <c r="X981" s="456" t="s">
        <v>578</v>
      </c>
      <c r="AH981" s="17"/>
      <c r="AI981" s="17"/>
    </row>
    <row r="982" spans="1:35" x14ac:dyDescent="0.25">
      <c r="A982" s="21">
        <f>A$14</f>
        <v>1752</v>
      </c>
      <c r="B982" s="149">
        <f t="shared" si="542"/>
        <v>7.4755606670500289E-3</v>
      </c>
      <c r="C982" s="20">
        <f t="shared" si="544"/>
        <v>10</v>
      </c>
      <c r="D982" s="21">
        <f>AN835</f>
        <v>5</v>
      </c>
      <c r="E982" s="22">
        <f>IF(TREND($E$973:$E$981,$C$973:$C$981,C982)&lt;365,TREND($E$973:$E$981,$C$973:$C$981,C982),365)</f>
        <v>293.1935515873015</v>
      </c>
      <c r="F982" s="21">
        <f>D982*E982</f>
        <v>1465.9677579365075</v>
      </c>
      <c r="G982" s="24">
        <f>'DDS Rates for Amend'!BG17</f>
        <v>395.12</v>
      </c>
      <c r="H982" s="33">
        <f>F982*G982</f>
        <v>579233.1805158729</v>
      </c>
      <c r="I982" s="688"/>
      <c r="J982" s="205"/>
      <c r="N982" s="453">
        <f t="shared" si="538"/>
        <v>1752</v>
      </c>
      <c r="O982" s="584">
        <f t="shared" si="543"/>
        <v>7.4755606670500289E-3</v>
      </c>
      <c r="P982" s="586">
        <f t="shared" si="545"/>
        <v>10</v>
      </c>
      <c r="Q982" s="453">
        <f>ROUND((TREND($Q$980:$Q$981,$N$980:$N$981,N982)),0)</f>
        <v>9</v>
      </c>
      <c r="R982" s="451">
        <f>IF(TREND($R$973:$R$981,$N$973:$N$981,N982)&lt;365,TREND($R$973:$R$981,$N$973:$N$981,N982),365)</f>
        <v>271.63304902171592</v>
      </c>
      <c r="S982" s="453">
        <f>Q982*R982</f>
        <v>2444.6974411954434</v>
      </c>
      <c r="T982" s="446">
        <v>10</v>
      </c>
      <c r="U982" s="457">
        <f t="shared" ref="U982:U987" si="546">Q982*$AB$835</f>
        <v>8</v>
      </c>
      <c r="V982" s="457">
        <f t="shared" ref="V982:V987" si="547">Q982*$AC$835</f>
        <v>1</v>
      </c>
      <c r="W982" s="457">
        <f t="shared" ref="W982:W987" si="548">R982*$AF$835</f>
        <v>248.96998176126286</v>
      </c>
      <c r="X982" s="457">
        <f t="shared" ref="X982:X987" si="549">R982*$AG$835</f>
        <v>22.663067260453058</v>
      </c>
      <c r="AH982" s="17"/>
      <c r="AI982" s="17"/>
    </row>
    <row r="983" spans="1:35" x14ac:dyDescent="0.25">
      <c r="A983" s="21">
        <f>A$15</f>
        <v>1822</v>
      </c>
      <c r="B983" s="149">
        <f t="shared" si="542"/>
        <v>3.9954337899543377E-2</v>
      </c>
      <c r="C983" s="20">
        <f t="shared" si="544"/>
        <v>11</v>
      </c>
      <c r="D983" s="21">
        <f>AQ835</f>
        <v>6</v>
      </c>
      <c r="E983" s="22">
        <f t="shared" ref="E983:E987" si="550">IF(TREND($E$973:$E$981,$C$973:$C$981,C983)&lt;365,TREND($E$973:$E$981,$C$973:$C$981,C983),365)</f>
        <v>306.82335470085462</v>
      </c>
      <c r="F983" s="21">
        <f t="shared" ref="F983:F987" si="551">D983*E983</f>
        <v>1840.9401282051276</v>
      </c>
      <c r="G983" s="24">
        <f>'DDS Rates for Amend'!BG18</f>
        <v>405.39312000000001</v>
      </c>
      <c r="H983" s="33">
        <f t="shared" ref="H983:H987" si="552">F983*G983</f>
        <v>746304.46230627666</v>
      </c>
      <c r="I983" s="688"/>
      <c r="J983" s="205"/>
      <c r="N983" s="453">
        <f t="shared" si="538"/>
        <v>1822</v>
      </c>
      <c r="O983" s="584">
        <f t="shared" si="543"/>
        <v>3.9954337899543377E-2</v>
      </c>
      <c r="P983" s="586">
        <f t="shared" si="545"/>
        <v>11</v>
      </c>
      <c r="Q983" s="453">
        <f t="shared" ref="Q983:Q987" si="553">ROUND((TREND($Q$980:$Q$981,$N$980:$N$981,N983)),0)</f>
        <v>10</v>
      </c>
      <c r="R983" s="451">
        <f t="shared" ref="R983:R987" si="554">IF(TREND($R$973:$R$981,$N$973:$N$981,N983)&lt;365,TREND($R$973:$R$981,$N$973:$N$981,N983),365)</f>
        <v>285.72340432969145</v>
      </c>
      <c r="S983" s="453">
        <f t="shared" ref="S983:S987" si="555">Q983*R983</f>
        <v>2857.2340432969145</v>
      </c>
      <c r="T983" s="446">
        <v>11</v>
      </c>
      <c r="U983" s="457">
        <f t="shared" si="546"/>
        <v>8.8888888888888893</v>
      </c>
      <c r="V983" s="457">
        <f t="shared" si="547"/>
        <v>1.1111111111111112</v>
      </c>
      <c r="W983" s="457">
        <f t="shared" si="548"/>
        <v>261.88474127477082</v>
      </c>
      <c r="X983" s="457">
        <f t="shared" si="549"/>
        <v>23.838663054920623</v>
      </c>
      <c r="AH983" s="17"/>
      <c r="AI983" s="17"/>
    </row>
    <row r="984" spans="1:35" x14ac:dyDescent="0.25">
      <c r="A984" s="21">
        <f>A$16</f>
        <v>1872</v>
      </c>
      <c r="B984" s="149">
        <f t="shared" si="542"/>
        <v>2.7442371020856202E-2</v>
      </c>
      <c r="C984" s="20">
        <f t="shared" si="544"/>
        <v>12</v>
      </c>
      <c r="D984" s="21">
        <f>AT835</f>
        <v>6</v>
      </c>
      <c r="E984" s="22">
        <f t="shared" si="550"/>
        <v>320.45315781440775</v>
      </c>
      <c r="F984" s="21">
        <f t="shared" si="551"/>
        <v>1922.7189468864465</v>
      </c>
      <c r="G984" s="24">
        <f>'DDS Rates for Amend'!BG19</f>
        <v>415.93334112000002</v>
      </c>
      <c r="H984" s="33">
        <f t="shared" si="552"/>
        <v>799722.9156132075</v>
      </c>
      <c r="I984" s="688"/>
      <c r="J984" s="205"/>
      <c r="N984" s="453">
        <f t="shared" si="538"/>
        <v>1872</v>
      </c>
      <c r="O984" s="584">
        <f t="shared" si="543"/>
        <v>2.7442371020856202E-2</v>
      </c>
      <c r="P984" s="586">
        <f t="shared" si="545"/>
        <v>12</v>
      </c>
      <c r="Q984" s="453">
        <f t="shared" si="553"/>
        <v>11</v>
      </c>
      <c r="R984" s="451">
        <f t="shared" si="554"/>
        <v>295.78794383538826</v>
      </c>
      <c r="S984" s="453">
        <f t="shared" si="555"/>
        <v>3253.6673821892709</v>
      </c>
      <c r="T984" s="446">
        <v>12</v>
      </c>
      <c r="U984" s="457">
        <f t="shared" si="546"/>
        <v>9.7777777777777768</v>
      </c>
      <c r="V984" s="457">
        <f t="shared" si="547"/>
        <v>1.2222222222222221</v>
      </c>
      <c r="W984" s="457">
        <f t="shared" si="548"/>
        <v>271.10956949870507</v>
      </c>
      <c r="X984" s="457">
        <f t="shared" si="549"/>
        <v>24.67837433668317</v>
      </c>
      <c r="AH984" s="17"/>
      <c r="AI984" s="17"/>
    </row>
    <row r="985" spans="1:35" x14ac:dyDescent="0.25">
      <c r="A985" s="21">
        <f>A$17</f>
        <v>1902</v>
      </c>
      <c r="B985" s="149">
        <f t="shared" si="542"/>
        <v>1.6025641025641024E-2</v>
      </c>
      <c r="C985" s="20">
        <f t="shared" si="544"/>
        <v>13</v>
      </c>
      <c r="D985" s="21">
        <f>AW835</f>
        <v>6</v>
      </c>
      <c r="E985" s="22">
        <f t="shared" si="550"/>
        <v>334.08296092796087</v>
      </c>
      <c r="F985" s="21">
        <f t="shared" si="551"/>
        <v>2004.4977655677653</v>
      </c>
      <c r="G985" s="24">
        <f>'DDS Rates for Amend'!BG20</f>
        <v>426.74760798912001</v>
      </c>
      <c r="H985" s="33">
        <f t="shared" si="552"/>
        <v>855414.6266755797</v>
      </c>
      <c r="I985" s="688"/>
      <c r="J985" s="205"/>
      <c r="N985" s="453">
        <f t="shared" si="538"/>
        <v>1902</v>
      </c>
      <c r="O985" s="584">
        <f t="shared" si="543"/>
        <v>1.6025641025641024E-2</v>
      </c>
      <c r="P985" s="586">
        <f t="shared" si="545"/>
        <v>13</v>
      </c>
      <c r="Q985" s="453">
        <f t="shared" si="553"/>
        <v>12</v>
      </c>
      <c r="R985" s="451">
        <f t="shared" si="554"/>
        <v>301.82666753880636</v>
      </c>
      <c r="S985" s="453">
        <f t="shared" si="555"/>
        <v>3621.9200104656766</v>
      </c>
      <c r="T985" s="446">
        <v>13</v>
      </c>
      <c r="U985" s="457">
        <f t="shared" si="546"/>
        <v>10.666666666666666</v>
      </c>
      <c r="V985" s="457">
        <f t="shared" si="547"/>
        <v>1.3333333333333333</v>
      </c>
      <c r="W985" s="457">
        <f t="shared" si="548"/>
        <v>276.64446643306565</v>
      </c>
      <c r="X985" s="457">
        <f t="shared" si="549"/>
        <v>25.182201105740699</v>
      </c>
      <c r="AH985" s="17"/>
      <c r="AI985" s="17"/>
    </row>
    <row r="986" spans="1:35" x14ac:dyDescent="0.25">
      <c r="A986" s="21">
        <f>A$18</f>
        <v>1932</v>
      </c>
      <c r="B986" s="149">
        <f t="shared" si="542"/>
        <v>1.5772870662460567E-2</v>
      </c>
      <c r="C986" s="20">
        <f t="shared" si="544"/>
        <v>14</v>
      </c>
      <c r="D986" s="21">
        <f>AZ835</f>
        <v>6</v>
      </c>
      <c r="E986" s="22">
        <f t="shared" si="550"/>
        <v>347.71276404151399</v>
      </c>
      <c r="F986" s="21">
        <f t="shared" si="551"/>
        <v>2086.276584249084</v>
      </c>
      <c r="G986" s="24">
        <f>'DDS Rates for Amend'!BG21</f>
        <v>437.84304579683715</v>
      </c>
      <c r="H986" s="33">
        <f t="shared" si="552"/>
        <v>913461.69402224058</v>
      </c>
      <c r="I986" s="688"/>
      <c r="J986" s="205"/>
      <c r="N986" s="453">
        <f t="shared" si="538"/>
        <v>1932</v>
      </c>
      <c r="O986" s="584">
        <f t="shared" si="543"/>
        <v>1.5772870662460567E-2</v>
      </c>
      <c r="P986" s="586">
        <f t="shared" si="545"/>
        <v>14</v>
      </c>
      <c r="Q986" s="453">
        <f t="shared" si="553"/>
        <v>12</v>
      </c>
      <c r="R986" s="451">
        <f t="shared" si="554"/>
        <v>307.8653912422244</v>
      </c>
      <c r="S986" s="453">
        <f t="shared" si="555"/>
        <v>3694.3846949066929</v>
      </c>
      <c r="T986" s="446">
        <v>14</v>
      </c>
      <c r="U986" s="457">
        <f t="shared" si="546"/>
        <v>10.666666666666666</v>
      </c>
      <c r="V986" s="457">
        <f t="shared" si="547"/>
        <v>1.3333333333333333</v>
      </c>
      <c r="W986" s="457">
        <f t="shared" si="548"/>
        <v>282.17936336742616</v>
      </c>
      <c r="X986" s="457">
        <f t="shared" si="549"/>
        <v>25.686027874798224</v>
      </c>
      <c r="AH986" s="17"/>
      <c r="AI986" s="17"/>
    </row>
    <row r="987" spans="1:35" x14ac:dyDescent="0.25">
      <c r="A987" s="21">
        <f>A$19</f>
        <v>1962</v>
      </c>
      <c r="B987" s="149">
        <f t="shared" si="542"/>
        <v>1.5527950310559006E-2</v>
      </c>
      <c r="C987" s="20">
        <f t="shared" si="544"/>
        <v>15</v>
      </c>
      <c r="D987" s="21">
        <f>BC835</f>
        <v>6</v>
      </c>
      <c r="E987" s="22">
        <f t="shared" si="550"/>
        <v>361.34256715506706</v>
      </c>
      <c r="F987" s="21">
        <f t="shared" si="551"/>
        <v>2168.0554029304021</v>
      </c>
      <c r="G987" s="24">
        <f>'DDS Rates for Amend'!BG22</f>
        <v>449.22696498755494</v>
      </c>
      <c r="H987" s="33">
        <f t="shared" si="552"/>
        <v>973948.9485832951</v>
      </c>
      <c r="I987" s="689"/>
      <c r="J987" s="205"/>
      <c r="K987" s="285">
        <f>SUM(H973:H987)</f>
        <v>12309983.687716473</v>
      </c>
      <c r="L987" s="17">
        <f>IF(K987='Appendix J-2'!CD65,0,error)</f>
        <v>0</v>
      </c>
      <c r="N987" s="453">
        <f t="shared" si="538"/>
        <v>1962</v>
      </c>
      <c r="O987" s="584">
        <f t="shared" si="543"/>
        <v>1.5527950310559006E-2</v>
      </c>
      <c r="P987" s="586">
        <f t="shared" si="545"/>
        <v>15</v>
      </c>
      <c r="Q987" s="453">
        <f t="shared" si="553"/>
        <v>12</v>
      </c>
      <c r="R987" s="451">
        <f t="shared" si="554"/>
        <v>313.9041149456425</v>
      </c>
      <c r="S987" s="453">
        <f t="shared" si="555"/>
        <v>3766.8493793477101</v>
      </c>
      <c r="T987" s="446">
        <v>15</v>
      </c>
      <c r="U987" s="457">
        <f t="shared" si="546"/>
        <v>10.666666666666666</v>
      </c>
      <c r="V987" s="457">
        <f t="shared" si="547"/>
        <v>1.3333333333333333</v>
      </c>
      <c r="W987" s="457">
        <f t="shared" si="548"/>
        <v>287.71426030178674</v>
      </c>
      <c r="X987" s="457">
        <f t="shared" si="549"/>
        <v>26.189854643855753</v>
      </c>
      <c r="AH987" s="17"/>
      <c r="AI987" s="17"/>
    </row>
    <row r="988" spans="1:35" x14ac:dyDescent="0.25">
      <c r="C988"/>
      <c r="I988" s="568"/>
      <c r="J988"/>
      <c r="N988" s="446"/>
      <c r="O988" s="446"/>
      <c r="P988" s="446"/>
      <c r="Q988" s="466"/>
      <c r="R988" s="454"/>
      <c r="S988" s="446"/>
      <c r="T988" s="446"/>
      <c r="U988" s="446"/>
      <c r="V988" s="446"/>
      <c r="W988" s="446"/>
      <c r="X988" s="446"/>
      <c r="AH988" s="17"/>
      <c r="AI988" s="17"/>
    </row>
    <row r="989" spans="1:35" x14ac:dyDescent="0.25">
      <c r="A989" s="271" t="s">
        <v>117</v>
      </c>
      <c r="B989" s="272"/>
      <c r="C989" s="272"/>
      <c r="D989" s="292" t="str">
        <f>'Appendix J-2'!B66</f>
        <v>Assistance</v>
      </c>
      <c r="E989" s="223" t="str">
        <f>'Appendix J-2'!C66</f>
        <v>1 day</v>
      </c>
      <c r="F989" s="693"/>
      <c r="G989" s="694"/>
      <c r="H989" s="695"/>
      <c r="I989" s="687" t="s">
        <v>1112</v>
      </c>
      <c r="J989" s="205"/>
      <c r="N989" s="577" t="s">
        <v>572</v>
      </c>
      <c r="O989" s="578"/>
      <c r="P989" s="578"/>
      <c r="Q989" s="579"/>
      <c r="R989" s="447"/>
      <c r="S989" s="448"/>
      <c r="T989" s="446"/>
      <c r="U989" s="446"/>
      <c r="V989" s="446"/>
      <c r="W989" s="446"/>
      <c r="X989" s="446"/>
      <c r="AH989" s="17"/>
      <c r="AI989" s="17"/>
    </row>
    <row r="990" spans="1:35" ht="30" x14ac:dyDescent="0.25">
      <c r="A990" s="147" t="s">
        <v>26</v>
      </c>
      <c r="B990" s="147" t="s">
        <v>27</v>
      </c>
      <c r="C990" s="51" t="s">
        <v>166</v>
      </c>
      <c r="D990" s="91" t="s">
        <v>154</v>
      </c>
      <c r="E990" s="89" t="s">
        <v>155</v>
      </c>
      <c r="F990" s="34" t="s">
        <v>158</v>
      </c>
      <c r="G990" s="35" t="s">
        <v>156</v>
      </c>
      <c r="H990" s="51" t="s">
        <v>157</v>
      </c>
      <c r="I990" s="688"/>
      <c r="J990" s="205"/>
      <c r="N990" s="580" t="s">
        <v>26</v>
      </c>
      <c r="O990" s="580" t="s">
        <v>27</v>
      </c>
      <c r="P990" s="471" t="s">
        <v>166</v>
      </c>
      <c r="Q990" s="581" t="s">
        <v>154</v>
      </c>
      <c r="R990" s="449" t="s">
        <v>155</v>
      </c>
      <c r="S990" s="450" t="s">
        <v>158</v>
      </c>
      <c r="T990" s="446"/>
      <c r="U990" s="446"/>
      <c r="V990" s="446"/>
      <c r="W990" s="446"/>
      <c r="X990" s="446"/>
      <c r="AH990" s="17"/>
      <c r="AI990" s="17"/>
    </row>
    <row r="991" spans="1:35" ht="15" customHeight="1" x14ac:dyDescent="0.25">
      <c r="A991" s="21">
        <f>A$5</f>
        <v>1182</v>
      </c>
      <c r="B991" s="148"/>
      <c r="C991" s="144">
        <v>1</v>
      </c>
      <c r="D991" s="247">
        <f>'Appendix J-2'!D66</f>
        <v>41</v>
      </c>
      <c r="E991" s="22">
        <f>IF(F991=0,0,F991/D991)</f>
        <v>249.85365853658536</v>
      </c>
      <c r="F991" s="247">
        <f>'Appendix J-2'!F66</f>
        <v>10244</v>
      </c>
      <c r="G991" s="24">
        <f>H991/F991</f>
        <v>442.21548613822722</v>
      </c>
      <c r="H991" s="250">
        <f>'Appendix J-2'!H66</f>
        <v>4530055.4399999995</v>
      </c>
      <c r="I991" s="688"/>
      <c r="J991" s="205"/>
      <c r="N991" s="453">
        <f>A991</f>
        <v>1182</v>
      </c>
      <c r="O991" s="582"/>
      <c r="P991" s="583">
        <v>1</v>
      </c>
      <c r="Q991" s="452">
        <f>D991+D1369</f>
        <v>41</v>
      </c>
      <c r="R991" s="451">
        <f>IF(S991=0,0,S991/Q991)</f>
        <v>249.85365853658536</v>
      </c>
      <c r="S991" s="452">
        <f>F991+F1369</f>
        <v>10244</v>
      </c>
      <c r="T991" s="446"/>
      <c r="U991" s="446"/>
      <c r="V991" s="446"/>
      <c r="W991" s="446"/>
      <c r="X991" s="446"/>
      <c r="AH991" s="17"/>
      <c r="AI991" s="17"/>
    </row>
    <row r="992" spans="1:35" x14ac:dyDescent="0.25">
      <c r="A992" s="21">
        <f>A$6</f>
        <v>1288</v>
      </c>
      <c r="B992" s="149">
        <f>(A992-A991)/A991</f>
        <v>8.9678510998307953E-2</v>
      </c>
      <c r="C992" s="52">
        <v>2</v>
      </c>
      <c r="D992" s="247">
        <f>'Appendix J-2'!I66</f>
        <v>54</v>
      </c>
      <c r="E992" s="22">
        <f t="shared" ref="E992:E999" si="556">IF(F992=0,0,F992/D992)</f>
        <v>150.7037037037037</v>
      </c>
      <c r="F992" s="247">
        <f>'Appendix J-2'!K66</f>
        <v>8138</v>
      </c>
      <c r="G992" s="24">
        <f t="shared" ref="G992:G999" si="557">H992/F992</f>
        <v>445.03098795772917</v>
      </c>
      <c r="H992" s="250">
        <f>'Appendix J-2'!M66</f>
        <v>3621662.18</v>
      </c>
      <c r="I992" s="688"/>
      <c r="J992" s="205"/>
      <c r="N992" s="453">
        <f t="shared" ref="N992:N1005" si="558">A992</f>
        <v>1288</v>
      </c>
      <c r="O992" s="584">
        <f>(N992-N991)/N991</f>
        <v>8.9678510998307953E-2</v>
      </c>
      <c r="P992" s="585">
        <v>2</v>
      </c>
      <c r="Q992" s="452">
        <f t="shared" ref="Q992:Q999" si="559">D992+D1370</f>
        <v>54</v>
      </c>
      <c r="R992" s="451">
        <f t="shared" ref="R992:R999" si="560">IF(S992=0,0,S992/Q992)</f>
        <v>150.7037037037037</v>
      </c>
      <c r="S992" s="452">
        <f t="shared" ref="S992:S999" si="561">F992+F1370</f>
        <v>8138</v>
      </c>
      <c r="T992" s="446"/>
      <c r="U992" s="446"/>
      <c r="V992" s="446"/>
      <c r="W992" s="446"/>
      <c r="X992" s="446"/>
      <c r="AH992" s="17"/>
      <c r="AI992" s="17"/>
    </row>
    <row r="993" spans="1:35" x14ac:dyDescent="0.25">
      <c r="A993" s="21">
        <f>A$7</f>
        <v>1495</v>
      </c>
      <c r="B993" s="149">
        <f t="shared" ref="B993:B1005" si="562">(A993-A992)/A992</f>
        <v>0.16071428571428573</v>
      </c>
      <c r="C993" s="52">
        <v>3</v>
      </c>
      <c r="D993" s="247">
        <f>'Appendix J-2'!N66</f>
        <v>47</v>
      </c>
      <c r="E993" s="22">
        <f t="shared" si="556"/>
        <v>265.51063829787233</v>
      </c>
      <c r="F993" s="247">
        <f>'Appendix J-2'!P66</f>
        <v>12479</v>
      </c>
      <c r="G993" s="24">
        <f t="shared" si="557"/>
        <v>442.92690439939099</v>
      </c>
      <c r="H993" s="248">
        <f>'Appendix J-2'!R66</f>
        <v>5527284.8399999999</v>
      </c>
      <c r="I993" s="688"/>
      <c r="J993" s="205"/>
      <c r="N993" s="453">
        <f t="shared" si="558"/>
        <v>1495</v>
      </c>
      <c r="O993" s="584">
        <f t="shared" ref="O993:O1005" si="563">(N993-N992)/N992</f>
        <v>0.16071428571428573</v>
      </c>
      <c r="P993" s="585">
        <v>3</v>
      </c>
      <c r="Q993" s="452">
        <f t="shared" si="559"/>
        <v>47</v>
      </c>
      <c r="R993" s="451">
        <f t="shared" si="560"/>
        <v>265.51063829787233</v>
      </c>
      <c r="S993" s="452">
        <f t="shared" si="561"/>
        <v>12479</v>
      </c>
      <c r="T993" s="446"/>
      <c r="U993" s="446"/>
      <c r="V993" s="446"/>
      <c r="W993" s="446"/>
      <c r="X993" s="446"/>
      <c r="AH993" s="17"/>
      <c r="AI993" s="17"/>
    </row>
    <row r="994" spans="1:35" x14ac:dyDescent="0.25">
      <c r="A994" s="21">
        <f>A$8</f>
        <v>1484</v>
      </c>
      <c r="B994" s="149">
        <f t="shared" si="562"/>
        <v>-7.3578595317725752E-3</v>
      </c>
      <c r="C994" s="52">
        <f t="shared" ref="C994:C1005" si="564">C993+1</f>
        <v>4</v>
      </c>
      <c r="D994" s="247">
        <f>'Appendix J-2'!S66</f>
        <v>41</v>
      </c>
      <c r="E994" s="22">
        <f t="shared" si="556"/>
        <v>259.70731707317071</v>
      </c>
      <c r="F994" s="247">
        <f>'Appendix J-2'!U66</f>
        <v>10648</v>
      </c>
      <c r="G994" s="24">
        <f t="shared" si="557"/>
        <v>441.99661532682194</v>
      </c>
      <c r="H994" s="248">
        <f>'Appendix J-2'!W66</f>
        <v>4706379.96</v>
      </c>
      <c r="I994" s="688"/>
      <c r="J994" s="205"/>
      <c r="N994" s="453">
        <f t="shared" si="558"/>
        <v>1484</v>
      </c>
      <c r="O994" s="584">
        <f t="shared" si="563"/>
        <v>-7.3578595317725752E-3</v>
      </c>
      <c r="P994" s="585">
        <f t="shared" ref="P994:P1005" si="565">P993+1</f>
        <v>4</v>
      </c>
      <c r="Q994" s="452">
        <f t="shared" si="559"/>
        <v>41</v>
      </c>
      <c r="R994" s="451">
        <f t="shared" si="560"/>
        <v>259.70731707317071</v>
      </c>
      <c r="S994" s="452">
        <f t="shared" si="561"/>
        <v>10648</v>
      </c>
      <c r="T994" s="446"/>
      <c r="U994" s="446"/>
      <c r="V994" s="446"/>
      <c r="W994" s="446"/>
      <c r="X994" s="446"/>
      <c r="AH994" s="17"/>
      <c r="AI994" s="17"/>
    </row>
    <row r="995" spans="1:35" x14ac:dyDescent="0.25">
      <c r="A995" s="21">
        <f>A$9</f>
        <v>1528</v>
      </c>
      <c r="B995" s="149">
        <f t="shared" si="562"/>
        <v>2.9649595687331536E-2</v>
      </c>
      <c r="C995" s="52">
        <f t="shared" si="564"/>
        <v>5</v>
      </c>
      <c r="D995" s="247">
        <f>'Appendix J-2'!X66</f>
        <v>37</v>
      </c>
      <c r="E995" s="22">
        <f t="shared" si="556"/>
        <v>299.59459459459458</v>
      </c>
      <c r="F995" s="247">
        <f>'Appendix J-2'!Z66</f>
        <v>11085</v>
      </c>
      <c r="G995" s="24">
        <f t="shared" si="557"/>
        <v>440.0025358592693</v>
      </c>
      <c r="H995" s="248">
        <f>'Appendix J-2'!AB66</f>
        <v>4877428.1100000003</v>
      </c>
      <c r="I995" s="688"/>
      <c r="J995" s="205"/>
      <c r="N995" s="453">
        <f t="shared" si="558"/>
        <v>1528</v>
      </c>
      <c r="O995" s="584">
        <f t="shared" si="563"/>
        <v>2.9649595687331536E-2</v>
      </c>
      <c r="P995" s="585">
        <f t="shared" si="565"/>
        <v>5</v>
      </c>
      <c r="Q995" s="452">
        <f t="shared" si="559"/>
        <v>37</v>
      </c>
      <c r="R995" s="451">
        <f t="shared" si="560"/>
        <v>299.59459459459458</v>
      </c>
      <c r="S995" s="452">
        <f t="shared" si="561"/>
        <v>11085</v>
      </c>
      <c r="T995" s="446"/>
      <c r="U995" s="446"/>
      <c r="V995" s="446"/>
      <c r="W995" s="446"/>
      <c r="X995" s="446"/>
      <c r="AH995" s="17"/>
      <c r="AI995" s="17"/>
    </row>
    <row r="996" spans="1:35" x14ac:dyDescent="0.25">
      <c r="A996" s="21">
        <f>A$10</f>
        <v>1592</v>
      </c>
      <c r="B996" s="149">
        <f t="shared" si="562"/>
        <v>4.1884816753926704E-2</v>
      </c>
      <c r="C996" s="52">
        <f t="shared" si="564"/>
        <v>6</v>
      </c>
      <c r="D996" s="249">
        <f>'Appendix J-2'!AC66</f>
        <v>56</v>
      </c>
      <c r="E996" s="22">
        <f t="shared" si="556"/>
        <v>156.89285714285714</v>
      </c>
      <c r="F996" s="249">
        <f>'Appendix J-2'!AE66</f>
        <v>8786</v>
      </c>
      <c r="G996" s="24">
        <f t="shared" si="557"/>
        <v>454.59805372183018</v>
      </c>
      <c r="H996" s="248">
        <f>'Appendix J-2'!AG66</f>
        <v>3994098.5</v>
      </c>
      <c r="I996" s="688"/>
      <c r="J996" s="205"/>
      <c r="N996" s="453">
        <f t="shared" si="558"/>
        <v>1592</v>
      </c>
      <c r="O996" s="584">
        <f t="shared" si="563"/>
        <v>4.1884816753926704E-2</v>
      </c>
      <c r="P996" s="585">
        <f t="shared" si="565"/>
        <v>6</v>
      </c>
      <c r="Q996" s="452">
        <f t="shared" si="559"/>
        <v>56</v>
      </c>
      <c r="R996" s="451">
        <f t="shared" si="560"/>
        <v>156.89285714285714</v>
      </c>
      <c r="S996" s="452">
        <f t="shared" si="561"/>
        <v>8786</v>
      </c>
      <c r="T996" s="446"/>
      <c r="U996" s="446"/>
      <c r="V996" s="446"/>
      <c r="W996" s="446"/>
      <c r="X996" s="446"/>
      <c r="AH996" s="17"/>
      <c r="AI996" s="17"/>
    </row>
    <row r="997" spans="1:35" x14ac:dyDescent="0.25">
      <c r="A997" s="21">
        <f>A$11</f>
        <v>1642</v>
      </c>
      <c r="B997" s="149">
        <f t="shared" si="562"/>
        <v>3.1407035175879394E-2</v>
      </c>
      <c r="C997" s="20">
        <f t="shared" si="564"/>
        <v>7</v>
      </c>
      <c r="D997" s="249">
        <f>'Appendix J-2'!AH66</f>
        <v>49</v>
      </c>
      <c r="E997" s="22">
        <f t="shared" si="556"/>
        <v>156.0408163265306</v>
      </c>
      <c r="F997" s="249">
        <f>'Appendix J-2'!AJ66</f>
        <v>7646</v>
      </c>
      <c r="G997" s="24">
        <f t="shared" si="557"/>
        <v>462.16476196704161</v>
      </c>
      <c r="H997" s="248">
        <f>'Appendix J-2'!AL66</f>
        <v>3533711.77</v>
      </c>
      <c r="I997" s="688"/>
      <c r="J997" s="205"/>
      <c r="N997" s="453">
        <f t="shared" si="558"/>
        <v>1642</v>
      </c>
      <c r="O997" s="584">
        <f t="shared" si="563"/>
        <v>3.1407035175879394E-2</v>
      </c>
      <c r="P997" s="586">
        <f t="shared" si="565"/>
        <v>7</v>
      </c>
      <c r="Q997" s="452">
        <f t="shared" si="559"/>
        <v>50</v>
      </c>
      <c r="R997" s="451">
        <f t="shared" si="560"/>
        <v>153.78</v>
      </c>
      <c r="S997" s="452">
        <f t="shared" si="561"/>
        <v>7689</v>
      </c>
      <c r="T997" s="682" t="s">
        <v>610</v>
      </c>
      <c r="U997" s="683"/>
      <c r="V997" s="683"/>
      <c r="W997" s="683"/>
      <c r="X997" s="683"/>
      <c r="AH997" s="17"/>
      <c r="AI997" s="17"/>
    </row>
    <row r="998" spans="1:35" x14ac:dyDescent="0.25">
      <c r="A998" s="21">
        <f>A$12</f>
        <v>1675</v>
      </c>
      <c r="B998" s="149">
        <f t="shared" si="562"/>
        <v>2.0097442143727162E-2</v>
      </c>
      <c r="C998" s="20">
        <f t="shared" si="564"/>
        <v>8</v>
      </c>
      <c r="D998" s="249">
        <f>'Appendix J-2'!AM66</f>
        <v>23</v>
      </c>
      <c r="E998" s="22">
        <f t="shared" si="556"/>
        <v>330.86956521739131</v>
      </c>
      <c r="F998" s="249">
        <f>'Appendix J-2'!AO66</f>
        <v>7610</v>
      </c>
      <c r="G998" s="24">
        <f t="shared" si="557"/>
        <v>495.71000000000004</v>
      </c>
      <c r="H998" s="248">
        <f>'Appendix J-2'!AQ66</f>
        <v>3772353.1</v>
      </c>
      <c r="I998" s="688"/>
      <c r="J998" s="205"/>
      <c r="N998" s="453">
        <f t="shared" si="558"/>
        <v>1675</v>
      </c>
      <c r="O998" s="584">
        <f t="shared" si="563"/>
        <v>2.0097442143727162E-2</v>
      </c>
      <c r="P998" s="586">
        <f t="shared" si="565"/>
        <v>8</v>
      </c>
      <c r="Q998" s="452">
        <f t="shared" si="559"/>
        <v>25</v>
      </c>
      <c r="R998" s="451">
        <f t="shared" si="560"/>
        <v>309.48</v>
      </c>
      <c r="S998" s="452">
        <f t="shared" si="561"/>
        <v>7737</v>
      </c>
      <c r="T998" s="446"/>
      <c r="U998" s="684" t="s">
        <v>154</v>
      </c>
      <c r="V998" s="684"/>
      <c r="W998" s="684" t="s">
        <v>609</v>
      </c>
      <c r="X998" s="684"/>
      <c r="AH998" s="17"/>
      <c r="AI998" s="17"/>
    </row>
    <row r="999" spans="1:35" x14ac:dyDescent="0.25">
      <c r="A999" s="21">
        <f>A$13</f>
        <v>1739</v>
      </c>
      <c r="B999" s="149">
        <f t="shared" si="562"/>
        <v>3.8208955223880597E-2</v>
      </c>
      <c r="C999" s="20">
        <f t="shared" si="564"/>
        <v>9</v>
      </c>
      <c r="D999" s="249">
        <f>'Appendix J-2'!AR66</f>
        <v>26</v>
      </c>
      <c r="E999" s="22">
        <f t="shared" si="556"/>
        <v>242.23076923076923</v>
      </c>
      <c r="F999" s="249">
        <f>'Appendix J-2'!AT66</f>
        <v>6298</v>
      </c>
      <c r="G999" s="24">
        <f t="shared" si="557"/>
        <v>463.01627183232773</v>
      </c>
      <c r="H999" s="248">
        <f>'Appendix J-2'!AV66</f>
        <v>2916076.48</v>
      </c>
      <c r="I999" s="688"/>
      <c r="J999" s="205"/>
      <c r="N999" s="453">
        <f t="shared" si="558"/>
        <v>1739</v>
      </c>
      <c r="O999" s="584">
        <f t="shared" si="563"/>
        <v>3.8208955223880597E-2</v>
      </c>
      <c r="P999" s="586">
        <f t="shared" si="565"/>
        <v>9</v>
      </c>
      <c r="Q999" s="452">
        <f t="shared" si="559"/>
        <v>29</v>
      </c>
      <c r="R999" s="451">
        <f t="shared" si="560"/>
        <v>217.58620689655172</v>
      </c>
      <c r="S999" s="452">
        <f t="shared" si="561"/>
        <v>6310</v>
      </c>
      <c r="T999" s="446"/>
      <c r="U999" s="456" t="s">
        <v>608</v>
      </c>
      <c r="V999" s="456" t="s">
        <v>578</v>
      </c>
      <c r="W999" s="456" t="s">
        <v>608</v>
      </c>
      <c r="X999" s="456" t="s">
        <v>578</v>
      </c>
      <c r="AH999" s="17"/>
      <c r="AI999" s="17"/>
    </row>
    <row r="1000" spans="1:35" x14ac:dyDescent="0.25">
      <c r="A1000" s="21">
        <f>A$14</f>
        <v>1752</v>
      </c>
      <c r="B1000" s="149">
        <f t="shared" si="562"/>
        <v>7.4755606670500289E-3</v>
      </c>
      <c r="C1000" s="20">
        <f t="shared" si="564"/>
        <v>10</v>
      </c>
      <c r="D1000" s="21">
        <f>AN836</f>
        <v>18</v>
      </c>
      <c r="E1000" s="22">
        <f>IF(TREND($E$991:$E$999,$C$991:$C$999,C1000)&lt;365,TREND($E$991:$E$999,$C$991:$C$999,C1000),365)</f>
        <v>250.28809585634176</v>
      </c>
      <c r="F1000" s="21">
        <f>D1000*E1000</f>
        <v>4505.1857254141514</v>
      </c>
      <c r="G1000" s="24">
        <f>'DDS Rates for Amend'!BH17</f>
        <v>443.39</v>
      </c>
      <c r="H1000" s="33">
        <f>F1000*G1000</f>
        <v>1997554.2987913806</v>
      </c>
      <c r="I1000" s="688"/>
      <c r="J1000" s="205"/>
      <c r="N1000" s="453">
        <f t="shared" si="558"/>
        <v>1752</v>
      </c>
      <c r="O1000" s="584">
        <f t="shared" si="563"/>
        <v>7.4755606670500289E-3</v>
      </c>
      <c r="P1000" s="586">
        <f t="shared" si="565"/>
        <v>10</v>
      </c>
      <c r="Q1000" s="453">
        <f>ROUND((TREND($Q$991:$Q$999,$N$991:$N$999,N1000)),0)</f>
        <v>37</v>
      </c>
      <c r="R1000" s="451">
        <f>IF(TREND($E$991:$E$999,$A$991:$A$999,N1000)&lt;365,TREND($E$991:$E$999,$A$991:$A$999,N1000),365)</f>
        <v>247.84931038399139</v>
      </c>
      <c r="S1000" s="453">
        <f>Q1000*R1000</f>
        <v>9170.4244842076823</v>
      </c>
      <c r="T1000" s="446">
        <v>10</v>
      </c>
      <c r="U1000" s="457">
        <f t="shared" ref="U1000:U1005" si="566">Q1000*$AB$836</f>
        <v>29.151515151515149</v>
      </c>
      <c r="V1000" s="457">
        <f t="shared" ref="V1000:V1005" si="567">Q1000*$AC$836</f>
        <v>7.8484848484848486</v>
      </c>
      <c r="W1000" s="457">
        <f t="shared" ref="W1000:W1005" si="568">R1000*$AF$836</f>
        <v>205.95790431433934</v>
      </c>
      <c r="X1000" s="457">
        <f t="shared" ref="X1000:X1005" si="569">R1000*$AG$836</f>
        <v>41.891406069652056</v>
      </c>
      <c r="AH1000" s="17"/>
      <c r="AI1000" s="17"/>
    </row>
    <row r="1001" spans="1:35" x14ac:dyDescent="0.25">
      <c r="A1001" s="21">
        <f>A$15</f>
        <v>1822</v>
      </c>
      <c r="B1001" s="149">
        <f t="shared" si="562"/>
        <v>3.9954337899543377E-2</v>
      </c>
      <c r="C1001" s="20">
        <f t="shared" si="564"/>
        <v>11</v>
      </c>
      <c r="D1001" s="21">
        <f>AQ836</f>
        <v>19</v>
      </c>
      <c r="E1001" s="22">
        <f t="shared" ref="E1001:E1005" si="570">IF(TREND($E$991:$E$999,$C$991:$C$999,C1001)&lt;365,TREND($E$991:$E$999,$C$991:$C$999,C1001),365)</f>
        <v>253.42562791375511</v>
      </c>
      <c r="F1001" s="21">
        <f t="shared" ref="F1001:F1005" si="571">D1001*E1001</f>
        <v>4815.0869303613472</v>
      </c>
      <c r="G1001" s="24">
        <f>'DDS Rates for Amend'!BH18</f>
        <v>454.91813999999999</v>
      </c>
      <c r="H1001" s="33">
        <f t="shared" ref="H1001:H1005" si="572">F1001*G1001</f>
        <v>2190470.3902982934</v>
      </c>
      <c r="I1001" s="688"/>
      <c r="J1001" s="205"/>
      <c r="N1001" s="453">
        <f t="shared" si="558"/>
        <v>1822</v>
      </c>
      <c r="O1001" s="584">
        <f t="shared" si="563"/>
        <v>3.9954337899543377E-2</v>
      </c>
      <c r="P1001" s="586">
        <f t="shared" si="565"/>
        <v>11</v>
      </c>
      <c r="Q1001" s="453">
        <f t="shared" ref="Q1001:Q1005" si="573">ROUND((TREND($Q$991:$Q$999,$N$991:$N$999,N1001)),0)</f>
        <v>35</v>
      </c>
      <c r="R1001" s="451">
        <f t="shared" ref="R1001:R1005" si="574">IF(TREND($E$991:$E$999,$A$991:$A$999,N1001)&lt;365,TREND($E$991:$E$999,$A$991:$A$999,N1001),365)</f>
        <v>251.74421991888238</v>
      </c>
      <c r="S1001" s="453">
        <f t="shared" ref="S1001:S1005" si="575">Q1001*R1001</f>
        <v>8811.0476971608841</v>
      </c>
      <c r="T1001" s="446">
        <v>11</v>
      </c>
      <c r="U1001" s="457">
        <f t="shared" si="566"/>
        <v>27.575757575757574</v>
      </c>
      <c r="V1001" s="457">
        <f t="shared" si="567"/>
        <v>7.4242424242424248</v>
      </c>
      <c r="W1001" s="457">
        <f t="shared" si="568"/>
        <v>209.19449756552595</v>
      </c>
      <c r="X1001" s="457">
        <f t="shared" si="569"/>
        <v>42.549722353356422</v>
      </c>
      <c r="AH1001" s="17"/>
      <c r="AI1001" s="17"/>
    </row>
    <row r="1002" spans="1:35" x14ac:dyDescent="0.25">
      <c r="A1002" s="21">
        <f>A$16</f>
        <v>1872</v>
      </c>
      <c r="B1002" s="149">
        <f t="shared" si="562"/>
        <v>2.7442371020856202E-2</v>
      </c>
      <c r="C1002" s="20">
        <f t="shared" si="564"/>
        <v>12</v>
      </c>
      <c r="D1002" s="21">
        <f>AT836</f>
        <v>20</v>
      </c>
      <c r="E1002" s="22">
        <f t="shared" si="570"/>
        <v>256.56315997116843</v>
      </c>
      <c r="F1002" s="21">
        <f t="shared" si="571"/>
        <v>5131.2631994233689</v>
      </c>
      <c r="G1002" s="24">
        <f>'DDS Rates for Amend'!BH19</f>
        <v>466.74601164000001</v>
      </c>
      <c r="H1002" s="33">
        <f t="shared" si="572"/>
        <v>2394996.6330059632</v>
      </c>
      <c r="I1002" s="688"/>
      <c r="J1002" s="205"/>
      <c r="N1002" s="453">
        <f t="shared" si="558"/>
        <v>1872</v>
      </c>
      <c r="O1002" s="584">
        <f t="shared" si="563"/>
        <v>2.7442371020856202E-2</v>
      </c>
      <c r="P1002" s="586">
        <f t="shared" si="565"/>
        <v>12</v>
      </c>
      <c r="Q1002" s="453">
        <f t="shared" si="573"/>
        <v>34</v>
      </c>
      <c r="R1002" s="451">
        <f t="shared" si="574"/>
        <v>254.52629815809019</v>
      </c>
      <c r="S1002" s="453">
        <f t="shared" si="575"/>
        <v>8653.8941373750658</v>
      </c>
      <c r="T1002" s="446">
        <v>12</v>
      </c>
      <c r="U1002" s="457">
        <f t="shared" si="566"/>
        <v>26.787878787878785</v>
      </c>
      <c r="V1002" s="457">
        <f t="shared" si="567"/>
        <v>7.2121212121212119</v>
      </c>
      <c r="W1002" s="457">
        <f t="shared" si="568"/>
        <v>211.50634988780209</v>
      </c>
      <c r="X1002" s="457">
        <f t="shared" si="569"/>
        <v>43.019948270288097</v>
      </c>
      <c r="AH1002" s="17"/>
      <c r="AI1002" s="17"/>
    </row>
    <row r="1003" spans="1:35" x14ac:dyDescent="0.25">
      <c r="A1003" s="21">
        <f>A$17</f>
        <v>1902</v>
      </c>
      <c r="B1003" s="149">
        <f t="shared" si="562"/>
        <v>1.6025641025641024E-2</v>
      </c>
      <c r="C1003" s="20">
        <f t="shared" si="564"/>
        <v>13</v>
      </c>
      <c r="D1003" s="21">
        <f>AW836</f>
        <v>20</v>
      </c>
      <c r="E1003" s="22">
        <f t="shared" si="570"/>
        <v>259.70069202858178</v>
      </c>
      <c r="F1003" s="21">
        <f t="shared" si="571"/>
        <v>5194.0138405716352</v>
      </c>
      <c r="G1003" s="24">
        <f>'DDS Rates for Amend'!BH20</f>
        <v>478.88140794264001</v>
      </c>
      <c r="H1003" s="33">
        <f t="shared" si="572"/>
        <v>2487316.6608465035</v>
      </c>
      <c r="I1003" s="688"/>
      <c r="J1003" s="205"/>
      <c r="N1003" s="453">
        <f t="shared" si="558"/>
        <v>1902</v>
      </c>
      <c r="O1003" s="584">
        <f t="shared" si="563"/>
        <v>1.6025641025641024E-2</v>
      </c>
      <c r="P1003" s="586">
        <f t="shared" si="565"/>
        <v>13</v>
      </c>
      <c r="Q1003" s="453">
        <f t="shared" si="573"/>
        <v>33</v>
      </c>
      <c r="R1003" s="451">
        <f t="shared" si="574"/>
        <v>256.19554510161493</v>
      </c>
      <c r="S1003" s="453">
        <f t="shared" si="575"/>
        <v>8454.4529883532923</v>
      </c>
      <c r="T1003" s="446">
        <v>13</v>
      </c>
      <c r="U1003" s="457">
        <f t="shared" si="566"/>
        <v>26</v>
      </c>
      <c r="V1003" s="457">
        <f t="shared" si="567"/>
        <v>7</v>
      </c>
      <c r="W1003" s="457">
        <f t="shared" si="568"/>
        <v>212.89346128116782</v>
      </c>
      <c r="X1003" s="457">
        <f t="shared" si="569"/>
        <v>43.302083820447116</v>
      </c>
      <c r="AH1003" s="17"/>
      <c r="AI1003" s="17"/>
    </row>
    <row r="1004" spans="1:35" x14ac:dyDescent="0.25">
      <c r="A1004" s="21">
        <f>A$18</f>
        <v>1932</v>
      </c>
      <c r="B1004" s="149">
        <f t="shared" si="562"/>
        <v>1.5772870662460567E-2</v>
      </c>
      <c r="C1004" s="20">
        <f t="shared" si="564"/>
        <v>14</v>
      </c>
      <c r="D1004" s="21">
        <f>AZ836</f>
        <v>20</v>
      </c>
      <c r="E1004" s="22">
        <f t="shared" si="570"/>
        <v>262.83822408599514</v>
      </c>
      <c r="F1004" s="21">
        <f t="shared" si="571"/>
        <v>5256.7644817199025</v>
      </c>
      <c r="G1004" s="24">
        <f>'DDS Rates for Amend'!BH21</f>
        <v>491.33232454914867</v>
      </c>
      <c r="H1004" s="33">
        <f t="shared" si="572"/>
        <v>2582818.3124108403</v>
      </c>
      <c r="I1004" s="688"/>
      <c r="J1004" s="205"/>
      <c r="N1004" s="453">
        <f t="shared" si="558"/>
        <v>1932</v>
      </c>
      <c r="O1004" s="584">
        <f t="shared" si="563"/>
        <v>1.5772870662460567E-2</v>
      </c>
      <c r="P1004" s="586">
        <f t="shared" si="565"/>
        <v>14</v>
      </c>
      <c r="Q1004" s="453">
        <f t="shared" si="573"/>
        <v>33</v>
      </c>
      <c r="R1004" s="451">
        <f t="shared" si="574"/>
        <v>257.86479204513961</v>
      </c>
      <c r="S1004" s="453">
        <f t="shared" si="575"/>
        <v>8509.5381374896078</v>
      </c>
      <c r="T1004" s="446">
        <v>14</v>
      </c>
      <c r="U1004" s="457">
        <f t="shared" si="566"/>
        <v>26</v>
      </c>
      <c r="V1004" s="457">
        <f t="shared" si="567"/>
        <v>7</v>
      </c>
      <c r="W1004" s="457">
        <f t="shared" si="568"/>
        <v>214.28057267453349</v>
      </c>
      <c r="X1004" s="457">
        <f t="shared" si="569"/>
        <v>43.584219370606128</v>
      </c>
      <c r="AH1004" s="17"/>
      <c r="AI1004" s="17"/>
    </row>
    <row r="1005" spans="1:35" x14ac:dyDescent="0.25">
      <c r="A1005" s="21">
        <f>A$19</f>
        <v>1962</v>
      </c>
      <c r="B1005" s="149">
        <f t="shared" si="562"/>
        <v>1.5527950310559006E-2</v>
      </c>
      <c r="C1005" s="20">
        <f t="shared" si="564"/>
        <v>15</v>
      </c>
      <c r="D1005" s="21">
        <f>BC836</f>
        <v>20</v>
      </c>
      <c r="E1005" s="22">
        <f t="shared" si="570"/>
        <v>265.97575614340849</v>
      </c>
      <c r="F1005" s="21">
        <f t="shared" si="571"/>
        <v>5319.5151228681698</v>
      </c>
      <c r="G1005" s="24">
        <f>'DDS Rates for Amend'!BH22</f>
        <v>504.10696498742652</v>
      </c>
      <c r="H1005" s="33">
        <f t="shared" si="572"/>
        <v>2681604.6237937906</v>
      </c>
      <c r="I1005" s="689"/>
      <c r="J1005" s="205"/>
      <c r="K1005" s="285">
        <f>SUM(H991:H1005)</f>
        <v>51813811.299146757</v>
      </c>
      <c r="L1005" s="17">
        <f>IF(K1005='Appendix J-2'!CD66,0,error)</f>
        <v>0</v>
      </c>
      <c r="N1005" s="453">
        <f t="shared" si="558"/>
        <v>1962</v>
      </c>
      <c r="O1005" s="584">
        <f t="shared" si="563"/>
        <v>1.5527950310559006E-2</v>
      </c>
      <c r="P1005" s="586">
        <f t="shared" si="565"/>
        <v>15</v>
      </c>
      <c r="Q1005" s="453">
        <f t="shared" si="573"/>
        <v>32</v>
      </c>
      <c r="R1005" s="451">
        <f t="shared" si="574"/>
        <v>259.53403898866429</v>
      </c>
      <c r="S1005" s="453">
        <f t="shared" si="575"/>
        <v>8305.0892476372574</v>
      </c>
      <c r="T1005" s="446">
        <v>15</v>
      </c>
      <c r="U1005" s="457">
        <f t="shared" si="566"/>
        <v>25.212121212121211</v>
      </c>
      <c r="V1005" s="457">
        <f t="shared" si="567"/>
        <v>6.7878787878787881</v>
      </c>
      <c r="W1005" s="457">
        <f t="shared" si="568"/>
        <v>215.66768406789916</v>
      </c>
      <c r="X1005" s="457">
        <f t="shared" si="569"/>
        <v>43.866354920765133</v>
      </c>
      <c r="AH1005" s="17"/>
      <c r="AI1005" s="17"/>
    </row>
    <row r="1006" spans="1:35" x14ac:dyDescent="0.25">
      <c r="C1006"/>
      <c r="I1006" s="568"/>
      <c r="J1006"/>
      <c r="N1006" s="446"/>
      <c r="O1006" s="446"/>
      <c r="P1006" s="446"/>
      <c r="Q1006" s="466"/>
      <c r="R1006" s="454"/>
      <c r="S1006" s="446"/>
      <c r="T1006" s="446"/>
      <c r="U1006" s="446"/>
      <c r="V1006" s="446"/>
      <c r="W1006" s="446"/>
      <c r="X1006" s="446"/>
      <c r="AH1006" s="17"/>
      <c r="AI1006" s="17"/>
    </row>
    <row r="1007" spans="1:35" x14ac:dyDescent="0.25">
      <c r="A1007" s="271" t="s">
        <v>118</v>
      </c>
      <c r="B1007" s="272"/>
      <c r="C1007" s="272"/>
      <c r="D1007" s="292" t="str">
        <f>'Appendix J-2'!B67</f>
        <v>Assistance</v>
      </c>
      <c r="E1007" s="223" t="str">
        <f>'Appendix J-2'!C67</f>
        <v>1 day</v>
      </c>
      <c r="F1007" s="690"/>
      <c r="G1007" s="690"/>
      <c r="H1007" s="690"/>
      <c r="I1007" s="687" t="s">
        <v>1109</v>
      </c>
      <c r="J1007" s="205"/>
      <c r="N1007" s="577" t="s">
        <v>573</v>
      </c>
      <c r="O1007" s="578"/>
      <c r="P1007" s="578"/>
      <c r="Q1007" s="579"/>
      <c r="R1007" s="447"/>
      <c r="S1007" s="448"/>
      <c r="T1007" s="446"/>
      <c r="U1007" s="446"/>
      <c r="V1007" s="446"/>
      <c r="W1007" s="446"/>
      <c r="X1007" s="446"/>
      <c r="AH1007" s="17"/>
      <c r="AI1007" s="17"/>
    </row>
    <row r="1008" spans="1:35" ht="30" x14ac:dyDescent="0.25">
      <c r="A1008" s="147" t="s">
        <v>26</v>
      </c>
      <c r="B1008" s="147" t="s">
        <v>27</v>
      </c>
      <c r="C1008" s="50" t="s">
        <v>166</v>
      </c>
      <c r="D1008" s="91" t="s">
        <v>154</v>
      </c>
      <c r="E1008" s="89" t="s">
        <v>155</v>
      </c>
      <c r="F1008" s="34" t="s">
        <v>158</v>
      </c>
      <c r="G1008" s="35" t="s">
        <v>156</v>
      </c>
      <c r="H1008" s="51" t="s">
        <v>157</v>
      </c>
      <c r="I1008" s="688"/>
      <c r="J1008" s="205"/>
      <c r="N1008" s="580" t="s">
        <v>26</v>
      </c>
      <c r="O1008" s="580" t="s">
        <v>27</v>
      </c>
      <c r="P1008" s="471" t="s">
        <v>166</v>
      </c>
      <c r="Q1008" s="581" t="s">
        <v>154</v>
      </c>
      <c r="R1008" s="449" t="s">
        <v>155</v>
      </c>
      <c r="S1008" s="450" t="s">
        <v>158</v>
      </c>
      <c r="T1008" s="446"/>
      <c r="U1008" s="446"/>
      <c r="V1008" s="446"/>
      <c r="W1008" s="446"/>
      <c r="X1008" s="446"/>
      <c r="AH1008" s="17"/>
      <c r="AI1008" s="17"/>
    </row>
    <row r="1009" spans="1:35" ht="15" customHeight="1" x14ac:dyDescent="0.25">
      <c r="A1009" s="21">
        <f>A$5</f>
        <v>1182</v>
      </c>
      <c r="B1009" s="148"/>
      <c r="C1009" s="144">
        <v>1</v>
      </c>
      <c r="D1009" s="247">
        <f>'Appendix J-2'!D67</f>
        <v>52</v>
      </c>
      <c r="E1009" s="22">
        <f>IF(F1009=0,0,F1009/D1009)</f>
        <v>154.88461538461539</v>
      </c>
      <c r="F1009" s="247">
        <f>'Appendix J-2'!F67</f>
        <v>8054</v>
      </c>
      <c r="G1009" s="24">
        <f>H1009/F1009</f>
        <v>480.6093866401788</v>
      </c>
      <c r="H1009" s="250">
        <f>'Appendix J-2'!H67</f>
        <v>3870828</v>
      </c>
      <c r="I1009" s="688"/>
      <c r="J1009" s="205"/>
      <c r="N1009" s="453">
        <f>A1009</f>
        <v>1182</v>
      </c>
      <c r="O1009" s="582"/>
      <c r="P1009" s="583">
        <v>1</v>
      </c>
      <c r="Q1009" s="452">
        <f>D1009+D1495</f>
        <v>52</v>
      </c>
      <c r="R1009" s="451">
        <f>IF(S1009=0,0,S1009/Q1009)</f>
        <v>154.88461538461539</v>
      </c>
      <c r="S1009" s="452">
        <f>+F1009+F1495</f>
        <v>8054</v>
      </c>
      <c r="T1009" s="446"/>
      <c r="U1009" s="446"/>
      <c r="V1009" s="446"/>
      <c r="W1009" s="446"/>
      <c r="X1009" s="446"/>
      <c r="AH1009" s="17"/>
      <c r="AI1009" s="17"/>
    </row>
    <row r="1010" spans="1:35" x14ac:dyDescent="0.25">
      <c r="A1010" s="21">
        <f>A$6</f>
        <v>1288</v>
      </c>
      <c r="B1010" s="149">
        <f>(A1010-A1009)/A1009</f>
        <v>8.9678510998307953E-2</v>
      </c>
      <c r="C1010" s="52">
        <v>2</v>
      </c>
      <c r="D1010" s="247">
        <f>'Appendix J-2'!I67</f>
        <v>77</v>
      </c>
      <c r="E1010" s="22">
        <f t="shared" ref="E1010:E1017" si="576">IF(F1010=0,0,F1010/D1010)</f>
        <v>183.79220779220779</v>
      </c>
      <c r="F1010" s="247">
        <f>'Appendix J-2'!K67</f>
        <v>14152</v>
      </c>
      <c r="G1010" s="24">
        <f t="shared" ref="G1010:G1017" si="577">H1010/F1010</f>
        <v>481.40531373657433</v>
      </c>
      <c r="H1010" s="250">
        <f>'Appendix J-2'!M67</f>
        <v>6812848</v>
      </c>
      <c r="I1010" s="688"/>
      <c r="J1010" s="205"/>
      <c r="N1010" s="453">
        <f t="shared" ref="N1010:N1023" si="578">A1010</f>
        <v>1288</v>
      </c>
      <c r="O1010" s="584">
        <f>(N1010-N1009)/N1009</f>
        <v>8.9678510998307953E-2</v>
      </c>
      <c r="P1010" s="585">
        <v>2</v>
      </c>
      <c r="Q1010" s="452">
        <f t="shared" ref="Q1010:Q1017" si="579">D1010+D1496</f>
        <v>77</v>
      </c>
      <c r="R1010" s="451">
        <f t="shared" ref="R1010:R1017" si="580">IF(S1010=0,0,S1010/Q1010)</f>
        <v>183.79220779220779</v>
      </c>
      <c r="S1010" s="452">
        <f t="shared" ref="S1010:S1017" si="581">+F1010+F1496</f>
        <v>14152</v>
      </c>
      <c r="T1010" s="446"/>
      <c r="U1010" s="446"/>
      <c r="V1010" s="446"/>
      <c r="W1010" s="446"/>
      <c r="X1010" s="446"/>
      <c r="AH1010" s="17"/>
      <c r="AI1010" s="17"/>
    </row>
    <row r="1011" spans="1:35" x14ac:dyDescent="0.25">
      <c r="A1011" s="21">
        <f>A$7</f>
        <v>1495</v>
      </c>
      <c r="B1011" s="149">
        <f t="shared" ref="B1011:B1023" si="582">(A1011-A1010)/A1010</f>
        <v>0.16071428571428573</v>
      </c>
      <c r="C1011" s="52">
        <v>3</v>
      </c>
      <c r="D1011" s="247">
        <f>'Appendix J-2'!N67</f>
        <v>106</v>
      </c>
      <c r="E1011" s="22">
        <f t="shared" si="576"/>
        <v>214.50943396226415</v>
      </c>
      <c r="F1011" s="247">
        <f>'Appendix J-2'!P67</f>
        <v>22738</v>
      </c>
      <c r="G1011" s="24">
        <f t="shared" si="577"/>
        <v>477.33239203096139</v>
      </c>
      <c r="H1011" s="248">
        <f>'Appendix J-2'!R67</f>
        <v>10853583.93</v>
      </c>
      <c r="I1011" s="688"/>
      <c r="J1011" s="205"/>
      <c r="N1011" s="453">
        <f t="shared" si="578"/>
        <v>1495</v>
      </c>
      <c r="O1011" s="584">
        <f t="shared" ref="O1011:O1023" si="583">(N1011-N1010)/N1010</f>
        <v>0.16071428571428573</v>
      </c>
      <c r="P1011" s="585">
        <v>3</v>
      </c>
      <c r="Q1011" s="452">
        <f t="shared" si="579"/>
        <v>106</v>
      </c>
      <c r="R1011" s="451">
        <f t="shared" si="580"/>
        <v>214.50943396226415</v>
      </c>
      <c r="S1011" s="452">
        <f t="shared" si="581"/>
        <v>22738</v>
      </c>
      <c r="T1011" s="446"/>
      <c r="U1011" s="446"/>
      <c r="V1011" s="446"/>
      <c r="W1011" s="446"/>
      <c r="X1011" s="446"/>
      <c r="AH1011" s="17"/>
      <c r="AI1011" s="17"/>
    </row>
    <row r="1012" spans="1:35" x14ac:dyDescent="0.25">
      <c r="A1012" s="21">
        <f>A$8</f>
        <v>1484</v>
      </c>
      <c r="B1012" s="149">
        <f t="shared" si="582"/>
        <v>-7.3578595317725752E-3</v>
      </c>
      <c r="C1012" s="52">
        <f t="shared" ref="C1012:C1023" si="584">C1011+1</f>
        <v>4</v>
      </c>
      <c r="D1012" s="247">
        <f>'Appendix J-2'!S67</f>
        <v>112</v>
      </c>
      <c r="E1012" s="22">
        <f t="shared" si="576"/>
        <v>214.8125</v>
      </c>
      <c r="F1012" s="247">
        <f>'Appendix J-2'!U67</f>
        <v>24059</v>
      </c>
      <c r="G1012" s="24">
        <f t="shared" si="577"/>
        <v>477.00237831996344</v>
      </c>
      <c r="H1012" s="248">
        <f>'Appendix J-2'!W67</f>
        <v>11476200.220000001</v>
      </c>
      <c r="I1012" s="688"/>
      <c r="J1012" s="205"/>
      <c r="N1012" s="453">
        <f t="shared" si="578"/>
        <v>1484</v>
      </c>
      <c r="O1012" s="584">
        <f t="shared" si="583"/>
        <v>-7.3578595317725752E-3</v>
      </c>
      <c r="P1012" s="585">
        <f t="shared" ref="P1012:P1023" si="585">P1011+1</f>
        <v>4</v>
      </c>
      <c r="Q1012" s="452">
        <f t="shared" si="579"/>
        <v>112</v>
      </c>
      <c r="R1012" s="451">
        <f t="shared" si="580"/>
        <v>214.8125</v>
      </c>
      <c r="S1012" s="452">
        <f t="shared" si="581"/>
        <v>24059</v>
      </c>
      <c r="T1012" s="446"/>
      <c r="U1012" s="446"/>
      <c r="V1012" s="446"/>
      <c r="W1012" s="446"/>
      <c r="X1012" s="446"/>
      <c r="AH1012" s="17"/>
      <c r="AI1012" s="17"/>
    </row>
    <row r="1013" spans="1:35" x14ac:dyDescent="0.25">
      <c r="A1013" s="21">
        <f>A$9</f>
        <v>1528</v>
      </c>
      <c r="B1013" s="149">
        <f t="shared" si="582"/>
        <v>2.9649595687331536E-2</v>
      </c>
      <c r="C1013" s="52">
        <f t="shared" si="584"/>
        <v>5</v>
      </c>
      <c r="D1013" s="247">
        <f>'Appendix J-2'!X67</f>
        <v>138</v>
      </c>
      <c r="E1013" s="22">
        <f t="shared" si="576"/>
        <v>226.53623188405797</v>
      </c>
      <c r="F1013" s="247">
        <f>'Appendix J-2'!Z67</f>
        <v>31262</v>
      </c>
      <c r="G1013" s="24">
        <f t="shared" si="577"/>
        <v>480.99051884076516</v>
      </c>
      <c r="H1013" s="248">
        <f>'Appendix J-2'!AB67</f>
        <v>15036725.6</v>
      </c>
      <c r="I1013" s="688"/>
      <c r="J1013" s="205"/>
      <c r="N1013" s="453">
        <f t="shared" si="578"/>
        <v>1528</v>
      </c>
      <c r="O1013" s="584">
        <f t="shared" si="583"/>
        <v>2.9649595687331536E-2</v>
      </c>
      <c r="P1013" s="585">
        <f t="shared" si="585"/>
        <v>5</v>
      </c>
      <c r="Q1013" s="452">
        <f t="shared" si="579"/>
        <v>138</v>
      </c>
      <c r="R1013" s="451">
        <f t="shared" si="580"/>
        <v>226.53623188405797</v>
      </c>
      <c r="S1013" s="452">
        <f t="shared" si="581"/>
        <v>31262</v>
      </c>
      <c r="T1013" s="446"/>
      <c r="U1013" s="446"/>
      <c r="V1013" s="446"/>
      <c r="W1013" s="446"/>
      <c r="X1013" s="446"/>
      <c r="AH1013" s="17"/>
      <c r="AI1013" s="17"/>
    </row>
    <row r="1014" spans="1:35" x14ac:dyDescent="0.25">
      <c r="A1014" s="21">
        <f>A$10</f>
        <v>1592</v>
      </c>
      <c r="B1014" s="149">
        <f t="shared" si="582"/>
        <v>4.1884816753926704E-2</v>
      </c>
      <c r="C1014" s="20">
        <f t="shared" si="584"/>
        <v>6</v>
      </c>
      <c r="D1014" s="249">
        <f>'Appendix J-2'!AC67</f>
        <v>240</v>
      </c>
      <c r="E1014" s="22">
        <f t="shared" si="576"/>
        <v>157.41249999999999</v>
      </c>
      <c r="F1014" s="249">
        <f>'Appendix J-2'!AE67</f>
        <v>37779</v>
      </c>
      <c r="G1014" s="24">
        <f t="shared" si="577"/>
        <v>489.42012890759418</v>
      </c>
      <c r="H1014" s="248">
        <f>'Appendix J-2'!AG67</f>
        <v>18489803.050000001</v>
      </c>
      <c r="I1014" s="688"/>
      <c r="J1014" s="205"/>
      <c r="N1014" s="453">
        <f t="shared" si="578"/>
        <v>1592</v>
      </c>
      <c r="O1014" s="584">
        <f t="shared" si="583"/>
        <v>4.1884816753926704E-2</v>
      </c>
      <c r="P1014" s="586">
        <f t="shared" si="585"/>
        <v>6</v>
      </c>
      <c r="Q1014" s="452">
        <f t="shared" si="579"/>
        <v>240</v>
      </c>
      <c r="R1014" s="451">
        <f t="shared" si="580"/>
        <v>157.41249999999999</v>
      </c>
      <c r="S1014" s="452">
        <f t="shared" si="581"/>
        <v>37779</v>
      </c>
      <c r="T1014" s="446"/>
      <c r="U1014" s="446"/>
      <c r="V1014" s="446"/>
      <c r="W1014" s="446"/>
      <c r="X1014" s="446"/>
      <c r="AH1014" s="17"/>
      <c r="AI1014" s="17"/>
    </row>
    <row r="1015" spans="1:35" x14ac:dyDescent="0.25">
      <c r="A1015" s="21">
        <f>A$11</f>
        <v>1642</v>
      </c>
      <c r="B1015" s="149">
        <f t="shared" si="582"/>
        <v>3.1407035175879394E-2</v>
      </c>
      <c r="C1015" s="20">
        <f t="shared" si="584"/>
        <v>7</v>
      </c>
      <c r="D1015" s="249">
        <f>'Appendix J-2'!AH67</f>
        <v>257</v>
      </c>
      <c r="E1015" s="22">
        <f t="shared" si="576"/>
        <v>136.33073929961088</v>
      </c>
      <c r="F1015" s="249">
        <f>'Appendix J-2'!AJ67</f>
        <v>35037</v>
      </c>
      <c r="G1015" s="24">
        <f t="shared" si="577"/>
        <v>495.17892513628448</v>
      </c>
      <c r="H1015" s="248">
        <f>'Appendix J-2'!AL67</f>
        <v>17349584</v>
      </c>
      <c r="I1015" s="688"/>
      <c r="J1015" s="205"/>
      <c r="N1015" s="453">
        <f t="shared" si="578"/>
        <v>1642</v>
      </c>
      <c r="O1015" s="584">
        <f t="shared" si="583"/>
        <v>3.1407035175879394E-2</v>
      </c>
      <c r="P1015" s="586">
        <f t="shared" si="585"/>
        <v>7</v>
      </c>
      <c r="Q1015" s="452">
        <f t="shared" si="579"/>
        <v>316</v>
      </c>
      <c r="R1015" s="451">
        <f t="shared" si="580"/>
        <v>130.47151898734177</v>
      </c>
      <c r="S1015" s="452">
        <f t="shared" si="581"/>
        <v>41229</v>
      </c>
      <c r="T1015" s="682" t="s">
        <v>610</v>
      </c>
      <c r="U1015" s="683"/>
      <c r="V1015" s="683"/>
      <c r="W1015" s="683"/>
      <c r="X1015" s="683"/>
      <c r="AH1015" s="17"/>
      <c r="AI1015" s="17"/>
    </row>
    <row r="1016" spans="1:35" x14ac:dyDescent="0.25">
      <c r="A1016" s="21">
        <f>A$12</f>
        <v>1675</v>
      </c>
      <c r="B1016" s="149">
        <f t="shared" si="582"/>
        <v>2.0097442143727162E-2</v>
      </c>
      <c r="C1016" s="20">
        <f t="shared" si="584"/>
        <v>8</v>
      </c>
      <c r="D1016" s="249">
        <f>'Appendix J-2'!AM67</f>
        <v>105</v>
      </c>
      <c r="E1016" s="22">
        <f t="shared" si="576"/>
        <v>246.57142857142858</v>
      </c>
      <c r="F1016" s="249">
        <f>'Appendix J-2'!AO67</f>
        <v>25890</v>
      </c>
      <c r="G1016" s="24">
        <f t="shared" si="577"/>
        <v>533.75589030513709</v>
      </c>
      <c r="H1016" s="248">
        <f>'Appendix J-2'!AQ67</f>
        <v>13818940</v>
      </c>
      <c r="I1016" s="688"/>
      <c r="J1016" s="205"/>
      <c r="N1016" s="453">
        <f t="shared" si="578"/>
        <v>1675</v>
      </c>
      <c r="O1016" s="584">
        <f t="shared" si="583"/>
        <v>2.0097442143727162E-2</v>
      </c>
      <c r="P1016" s="586">
        <f t="shared" si="585"/>
        <v>8</v>
      </c>
      <c r="Q1016" s="452">
        <f t="shared" si="579"/>
        <v>188</v>
      </c>
      <c r="R1016" s="451">
        <f t="shared" si="580"/>
        <v>246.62234042553192</v>
      </c>
      <c r="S1016" s="452">
        <f t="shared" si="581"/>
        <v>46365</v>
      </c>
      <c r="T1016" s="446"/>
      <c r="U1016" s="684" t="s">
        <v>154</v>
      </c>
      <c r="V1016" s="684"/>
      <c r="W1016" s="684" t="s">
        <v>609</v>
      </c>
      <c r="X1016" s="684"/>
      <c r="AH1016" s="17"/>
      <c r="AI1016" s="17"/>
    </row>
    <row r="1017" spans="1:35" x14ac:dyDescent="0.25">
      <c r="A1017" s="21">
        <f>A$13</f>
        <v>1739</v>
      </c>
      <c r="B1017" s="149">
        <f t="shared" si="582"/>
        <v>3.8208955223880597E-2</v>
      </c>
      <c r="C1017" s="20">
        <f t="shared" si="584"/>
        <v>9</v>
      </c>
      <c r="D1017" s="249">
        <f>'Appendix J-2'!AR67</f>
        <v>110</v>
      </c>
      <c r="E1017" s="22">
        <f t="shared" si="576"/>
        <v>229.57272727272726</v>
      </c>
      <c r="F1017" s="249">
        <f>'Appendix J-2'!AT67</f>
        <v>25253</v>
      </c>
      <c r="G1017" s="24">
        <f t="shared" si="577"/>
        <v>526.35566031758606</v>
      </c>
      <c r="H1017" s="248">
        <f>'Appendix J-2'!AV67</f>
        <v>13292059.49</v>
      </c>
      <c r="I1017" s="688"/>
      <c r="J1017" s="205"/>
      <c r="N1017" s="453">
        <f t="shared" si="578"/>
        <v>1739</v>
      </c>
      <c r="O1017" s="584">
        <f t="shared" si="583"/>
        <v>3.8208955223880597E-2</v>
      </c>
      <c r="P1017" s="586">
        <f t="shared" si="585"/>
        <v>9</v>
      </c>
      <c r="Q1017" s="452">
        <f t="shared" si="579"/>
        <v>223</v>
      </c>
      <c r="R1017" s="451">
        <f t="shared" si="580"/>
        <v>238.02690582959642</v>
      </c>
      <c r="S1017" s="452">
        <f t="shared" si="581"/>
        <v>53080</v>
      </c>
      <c r="T1017" s="446"/>
      <c r="U1017" s="456" t="s">
        <v>608</v>
      </c>
      <c r="V1017" s="456" t="s">
        <v>578</v>
      </c>
      <c r="W1017" s="456" t="s">
        <v>608</v>
      </c>
      <c r="X1017" s="456" t="s">
        <v>578</v>
      </c>
      <c r="AH1017" s="17"/>
      <c r="AI1017" s="17"/>
    </row>
    <row r="1018" spans="1:35" x14ac:dyDescent="0.25">
      <c r="A1018" s="21">
        <f>A$14</f>
        <v>1752</v>
      </c>
      <c r="B1018" s="149">
        <f t="shared" si="582"/>
        <v>7.4755606670500289E-3</v>
      </c>
      <c r="C1018" s="20">
        <f t="shared" si="584"/>
        <v>10</v>
      </c>
      <c r="D1018" s="21">
        <f>AN837</f>
        <v>77</v>
      </c>
      <c r="E1018" s="22">
        <f>IF(TREND($E$1009:$E$1017,$C$1009:$C$1017,C1018)&lt;365,TREND($E$1009:$E$1017,$C$1009:$C$1017,C1018),365)</f>
        <v>218.82465828783495</v>
      </c>
      <c r="F1018" s="21">
        <f>D1018*E1018</f>
        <v>16849.49868816329</v>
      </c>
      <c r="G1018" s="24">
        <f>'DDS Rates for Amend'!BI17</f>
        <v>519.15</v>
      </c>
      <c r="H1018" s="33">
        <f>F1018*G1018</f>
        <v>8747417.2439599726</v>
      </c>
      <c r="I1018" s="688"/>
      <c r="J1018" s="205"/>
      <c r="N1018" s="453">
        <f t="shared" si="578"/>
        <v>1752</v>
      </c>
      <c r="O1018" s="584">
        <f t="shared" si="583"/>
        <v>7.4755606670500289E-3</v>
      </c>
      <c r="P1018" s="586">
        <f t="shared" si="585"/>
        <v>10</v>
      </c>
      <c r="Q1018" s="453">
        <f>ROUND((TREND($Q$1016:$Q$1017,$N$1016:$N$1017,N1018)),0)</f>
        <v>230</v>
      </c>
      <c r="R1018" s="451">
        <f>IF(TREND($R$1009:$R$1017,$N$1009:$N$1017,N1018)&lt;365,TREND($R$1009:$R$1017,$N$1009:$N$1017,N1018),365)</f>
        <v>216.47058647242</v>
      </c>
      <c r="S1018" s="453">
        <f>Q1018*R1018</f>
        <v>49788.234888656596</v>
      </c>
      <c r="T1018" s="446">
        <v>10</v>
      </c>
      <c r="U1018" s="457">
        <f>Q1018*$AB$837</f>
        <v>113.45291479820628</v>
      </c>
      <c r="V1018" s="457">
        <f>Q1018*$AC$837</f>
        <v>116.54708520179372</v>
      </c>
      <c r="W1018" s="457">
        <f>R1018*$AF$837</f>
        <v>102.98665637128904</v>
      </c>
      <c r="X1018" s="457">
        <f>R1018*$AG$837</f>
        <v>113.48393010113095</v>
      </c>
      <c r="AH1018" s="17"/>
      <c r="AI1018" s="17"/>
    </row>
    <row r="1019" spans="1:35" x14ac:dyDescent="0.25">
      <c r="A1019" s="21">
        <f>A$15</f>
        <v>1822</v>
      </c>
      <c r="B1019" s="149">
        <f t="shared" si="582"/>
        <v>3.9954337899543377E-2</v>
      </c>
      <c r="C1019" s="20">
        <f t="shared" si="584"/>
        <v>11</v>
      </c>
      <c r="D1019" s="21">
        <f>AQ837</f>
        <v>80</v>
      </c>
      <c r="E1019" s="22">
        <f t="shared" ref="E1019:E1023" si="586">IF(TREND($E$1009:$E$1017,$C$1009:$C$1017,C1019)&lt;365,TREND($E$1009:$E$1017,$C$1009:$C$1017,C1019),365)</f>
        <v>223.38020363058166</v>
      </c>
      <c r="F1019" s="21">
        <f t="shared" ref="F1019:F1023" si="587">D1019*E1019</f>
        <v>17870.416290446534</v>
      </c>
      <c r="G1019" s="24">
        <f>'DDS Rates for Amend'!BI18</f>
        <v>532.64789999999994</v>
      </c>
      <c r="H1019" s="33">
        <f t="shared" ref="H1019:H1023" si="588">F1019*G1019</f>
        <v>9518639.7092321347</v>
      </c>
      <c r="I1019" s="688"/>
      <c r="J1019" s="205"/>
      <c r="N1019" s="453">
        <f t="shared" si="578"/>
        <v>1822</v>
      </c>
      <c r="O1019" s="584">
        <f t="shared" si="583"/>
        <v>3.9954337899543377E-2</v>
      </c>
      <c r="P1019" s="586">
        <f t="shared" si="585"/>
        <v>11</v>
      </c>
      <c r="Q1019" s="453">
        <f t="shared" ref="Q1019:Q1023" si="589">ROUND((TREND($Q$1016:$Q$1017,$N$1016:$N$1017,N1019)),0)</f>
        <v>268</v>
      </c>
      <c r="R1019" s="451">
        <f t="shared" ref="R1019:R1023" si="590">IF(TREND($R$1009:$R$1017,$N$1009:$N$1017,N1019)&lt;365,TREND($R$1009:$R$1017,$N$1009:$N$1017,N1019),365)</f>
        <v>222.38831474075016</v>
      </c>
      <c r="S1019" s="453">
        <f t="shared" ref="S1019:S1023" si="591">Q1019*R1019</f>
        <v>59600.06835052104</v>
      </c>
      <c r="T1019" s="446">
        <v>11</v>
      </c>
      <c r="U1019" s="457">
        <f t="shared" ref="U1019:U1023" si="592">Q1019*$AB$837</f>
        <v>132.19730941704034</v>
      </c>
      <c r="V1019" s="457">
        <f t="shared" ref="V1019:V1023" si="593">Q1019*$AC$837</f>
        <v>135.80269058295966</v>
      </c>
      <c r="W1019" s="457">
        <f t="shared" ref="W1019:W1023" si="594">R1019*$AF$837</f>
        <v>105.80203677747106</v>
      </c>
      <c r="X1019" s="457">
        <f t="shared" ref="X1019:X1023" si="595">R1019*$AG$837</f>
        <v>116.5862779632791</v>
      </c>
      <c r="AH1019" s="17"/>
      <c r="AI1019" s="17"/>
    </row>
    <row r="1020" spans="1:35" x14ac:dyDescent="0.25">
      <c r="A1020" s="21">
        <f>A$16</f>
        <v>1872</v>
      </c>
      <c r="B1020" s="149">
        <f t="shared" si="582"/>
        <v>2.7442371020856202E-2</v>
      </c>
      <c r="C1020" s="20">
        <f t="shared" si="584"/>
        <v>12</v>
      </c>
      <c r="D1020" s="21">
        <f>AT837</f>
        <v>82</v>
      </c>
      <c r="E1020" s="22">
        <f t="shared" si="586"/>
        <v>227.93574897332837</v>
      </c>
      <c r="F1020" s="21">
        <f t="shared" si="587"/>
        <v>18690.731415812927</v>
      </c>
      <c r="G1020" s="24">
        <f>'DDS Rates for Amend'!BI19</f>
        <v>546.4967453999999</v>
      </c>
      <c r="H1020" s="33">
        <f t="shared" si="588"/>
        <v>10214423.887887297</v>
      </c>
      <c r="I1020" s="688"/>
      <c r="J1020" s="205"/>
      <c r="N1020" s="453">
        <f t="shared" si="578"/>
        <v>1872</v>
      </c>
      <c r="O1020" s="584">
        <f t="shared" si="583"/>
        <v>2.7442371020856202E-2</v>
      </c>
      <c r="P1020" s="586">
        <f t="shared" si="585"/>
        <v>12</v>
      </c>
      <c r="Q1020" s="453">
        <f t="shared" si="589"/>
        <v>296</v>
      </c>
      <c r="R1020" s="451">
        <f t="shared" si="590"/>
        <v>226.61526350384315</v>
      </c>
      <c r="S1020" s="453">
        <f t="shared" si="591"/>
        <v>67078.117997137568</v>
      </c>
      <c r="T1020" s="446">
        <v>12</v>
      </c>
      <c r="U1020" s="457">
        <f t="shared" si="592"/>
        <v>146.00896860986546</v>
      </c>
      <c r="V1020" s="457">
        <f t="shared" si="593"/>
        <v>149.99103139013454</v>
      </c>
      <c r="W1020" s="457">
        <f t="shared" si="594"/>
        <v>107.8130227818868</v>
      </c>
      <c r="X1020" s="457">
        <f t="shared" si="595"/>
        <v>118.80224072195635</v>
      </c>
      <c r="AH1020" s="17"/>
      <c r="AI1020" s="17"/>
    </row>
    <row r="1021" spans="1:35" x14ac:dyDescent="0.25">
      <c r="A1021" s="21">
        <f>A$17</f>
        <v>1902</v>
      </c>
      <c r="B1021" s="149">
        <f t="shared" si="582"/>
        <v>1.6025641025641024E-2</v>
      </c>
      <c r="C1021" s="20">
        <f t="shared" si="584"/>
        <v>13</v>
      </c>
      <c r="D1021" s="21">
        <f>AW837</f>
        <v>83</v>
      </c>
      <c r="E1021" s="22">
        <f t="shared" si="586"/>
        <v>232.49129431607511</v>
      </c>
      <c r="F1021" s="21">
        <f t="shared" si="587"/>
        <v>19296.777428234236</v>
      </c>
      <c r="G1021" s="24">
        <f>'DDS Rates for Amend'!BI20</f>
        <v>560.70566078039985</v>
      </c>
      <c r="H1021" s="33">
        <f t="shared" si="588"/>
        <v>10819812.338830382</v>
      </c>
      <c r="I1021" s="688"/>
      <c r="J1021" s="205"/>
      <c r="N1021" s="453">
        <f t="shared" si="578"/>
        <v>1902</v>
      </c>
      <c r="O1021" s="584">
        <f t="shared" si="583"/>
        <v>1.6025641025641024E-2</v>
      </c>
      <c r="P1021" s="586">
        <f t="shared" si="585"/>
        <v>13</v>
      </c>
      <c r="Q1021" s="453">
        <f t="shared" si="589"/>
        <v>312</v>
      </c>
      <c r="R1021" s="451">
        <f t="shared" si="590"/>
        <v>229.15143276169891</v>
      </c>
      <c r="S1021" s="453">
        <f t="shared" si="591"/>
        <v>71495.247021650066</v>
      </c>
      <c r="T1021" s="446">
        <v>13</v>
      </c>
      <c r="U1021" s="457">
        <f t="shared" si="592"/>
        <v>153.90134529147983</v>
      </c>
      <c r="V1021" s="457">
        <f t="shared" si="593"/>
        <v>158.09865470852017</v>
      </c>
      <c r="W1021" s="457">
        <f t="shared" si="594"/>
        <v>109.01961438453623</v>
      </c>
      <c r="X1021" s="457">
        <f t="shared" si="595"/>
        <v>120.13181837716269</v>
      </c>
      <c r="AH1021" s="17"/>
      <c r="AI1021" s="17"/>
    </row>
    <row r="1022" spans="1:35" x14ac:dyDescent="0.25">
      <c r="A1022" s="21">
        <f>A$18</f>
        <v>1932</v>
      </c>
      <c r="B1022" s="149">
        <f t="shared" si="582"/>
        <v>1.5772870662460567E-2</v>
      </c>
      <c r="C1022" s="20">
        <f t="shared" si="584"/>
        <v>14</v>
      </c>
      <c r="D1022" s="21">
        <f>AZ837</f>
        <v>85</v>
      </c>
      <c r="E1022" s="22">
        <f t="shared" si="586"/>
        <v>237.04683965882182</v>
      </c>
      <c r="F1022" s="21">
        <f t="shared" si="587"/>
        <v>20148.981370999856</v>
      </c>
      <c r="G1022" s="24">
        <f>'DDS Rates for Amend'!BI21</f>
        <v>575.28400796069025</v>
      </c>
      <c r="H1022" s="33">
        <f t="shared" si="588"/>
        <v>11591386.759434082</v>
      </c>
      <c r="I1022" s="688"/>
      <c r="J1022" s="205"/>
      <c r="N1022" s="453">
        <f t="shared" si="578"/>
        <v>1932</v>
      </c>
      <c r="O1022" s="584">
        <f t="shared" si="583"/>
        <v>1.5772870662460567E-2</v>
      </c>
      <c r="P1022" s="586">
        <f t="shared" si="585"/>
        <v>14</v>
      </c>
      <c r="Q1022" s="453">
        <f t="shared" si="589"/>
        <v>329</v>
      </c>
      <c r="R1022" s="451">
        <f t="shared" si="590"/>
        <v>231.6876020195547</v>
      </c>
      <c r="S1022" s="453">
        <f t="shared" si="591"/>
        <v>76225.221064433499</v>
      </c>
      <c r="T1022" s="446">
        <v>14</v>
      </c>
      <c r="U1022" s="457">
        <f t="shared" si="592"/>
        <v>162.28699551569505</v>
      </c>
      <c r="V1022" s="457">
        <f t="shared" si="593"/>
        <v>166.71300448430495</v>
      </c>
      <c r="W1022" s="457">
        <f t="shared" si="594"/>
        <v>110.22620598718566</v>
      </c>
      <c r="X1022" s="457">
        <f t="shared" si="595"/>
        <v>121.46139603236904</v>
      </c>
      <c r="AH1022" s="17"/>
      <c r="AI1022" s="17"/>
    </row>
    <row r="1023" spans="1:35" x14ac:dyDescent="0.25">
      <c r="A1023" s="21">
        <f>A$19</f>
        <v>1962</v>
      </c>
      <c r="B1023" s="149">
        <f t="shared" si="582"/>
        <v>1.5527950310559006E-2</v>
      </c>
      <c r="C1023" s="20">
        <f t="shared" si="584"/>
        <v>15</v>
      </c>
      <c r="D1023" s="21">
        <f>BC837</f>
        <v>86</v>
      </c>
      <c r="E1023" s="22">
        <f t="shared" si="586"/>
        <v>241.60238500156856</v>
      </c>
      <c r="F1023" s="21">
        <f t="shared" si="587"/>
        <v>20777.805110134897</v>
      </c>
      <c r="G1023" s="24">
        <f>'DDS Rates for Amend'!BI22</f>
        <v>590.24139216766821</v>
      </c>
      <c r="H1023" s="33">
        <f t="shared" si="588"/>
        <v>12263920.614394512</v>
      </c>
      <c r="I1023" s="689"/>
      <c r="J1023" s="205"/>
      <c r="K1023" s="285">
        <f>SUM(H1009:H1023)</f>
        <v>174156172.84373838</v>
      </c>
      <c r="L1023" s="17">
        <f>IF(K1023='Appendix J-2'!CD67,0,error)</f>
        <v>0</v>
      </c>
      <c r="N1023" s="453">
        <f t="shared" si="578"/>
        <v>1962</v>
      </c>
      <c r="O1023" s="584">
        <f t="shared" si="583"/>
        <v>1.5527950310559006E-2</v>
      </c>
      <c r="P1023" s="586">
        <f t="shared" si="585"/>
        <v>15</v>
      </c>
      <c r="Q1023" s="453">
        <f t="shared" si="589"/>
        <v>345</v>
      </c>
      <c r="R1023" s="451">
        <f t="shared" si="590"/>
        <v>234.22377127741049</v>
      </c>
      <c r="S1023" s="453">
        <f t="shared" si="591"/>
        <v>80807.201090706614</v>
      </c>
      <c r="T1023" s="446">
        <v>15</v>
      </c>
      <c r="U1023" s="457">
        <f t="shared" si="592"/>
        <v>170.17937219730942</v>
      </c>
      <c r="V1023" s="457">
        <f t="shared" si="593"/>
        <v>174.82062780269058</v>
      </c>
      <c r="W1023" s="457">
        <f t="shared" si="594"/>
        <v>111.4327975898351</v>
      </c>
      <c r="X1023" s="457">
        <f t="shared" si="595"/>
        <v>122.79097368757539</v>
      </c>
      <c r="AH1023" s="17"/>
      <c r="AI1023" s="17"/>
    </row>
    <row r="1024" spans="1:35" x14ac:dyDescent="0.25">
      <c r="C1024"/>
      <c r="I1024" s="568"/>
      <c r="J1024"/>
      <c r="N1024" s="446"/>
      <c r="O1024" s="446"/>
      <c r="P1024" s="446"/>
      <c r="Q1024" s="466"/>
      <c r="R1024" s="454"/>
      <c r="S1024" s="446"/>
      <c r="T1024" s="446"/>
      <c r="U1024" s="446"/>
      <c r="V1024" s="446"/>
      <c r="W1024" s="446"/>
      <c r="X1024" s="446"/>
      <c r="AH1024" s="17"/>
      <c r="AI1024" s="17"/>
    </row>
    <row r="1025" spans="1:35" ht="15" customHeight="1" x14ac:dyDescent="0.25">
      <c r="A1025" s="271" t="s">
        <v>64</v>
      </c>
      <c r="B1025" s="272"/>
      <c r="C1025" s="272"/>
      <c r="D1025" s="292" t="str">
        <f>'Appendix J-2'!B68</f>
        <v>Assistance</v>
      </c>
      <c r="E1025" s="223" t="str">
        <f>'Appendix J-2'!C68</f>
        <v>1 day</v>
      </c>
      <c r="F1025" s="690"/>
      <c r="G1025" s="690"/>
      <c r="H1025" s="690"/>
      <c r="I1025" s="687" t="s">
        <v>1112</v>
      </c>
      <c r="J1025" s="205"/>
      <c r="N1025" s="577" t="s">
        <v>574</v>
      </c>
      <c r="O1025" s="578"/>
      <c r="P1025" s="578"/>
      <c r="Q1025" s="579"/>
      <c r="R1025" s="447"/>
      <c r="S1025" s="448"/>
      <c r="T1025" s="446"/>
      <c r="U1025" s="446"/>
      <c r="V1025" s="446"/>
      <c r="W1025" s="446"/>
      <c r="X1025" s="446"/>
      <c r="AH1025" s="17"/>
      <c r="AI1025" s="17"/>
    </row>
    <row r="1026" spans="1:35" ht="30" x14ac:dyDescent="0.25">
      <c r="A1026" s="147" t="s">
        <v>26</v>
      </c>
      <c r="B1026" s="147" t="s">
        <v>27</v>
      </c>
      <c r="C1026" s="50" t="s">
        <v>166</v>
      </c>
      <c r="D1026" s="91" t="s">
        <v>154</v>
      </c>
      <c r="E1026" s="89" t="s">
        <v>155</v>
      </c>
      <c r="F1026" s="34" t="s">
        <v>158</v>
      </c>
      <c r="G1026" s="35" t="s">
        <v>156</v>
      </c>
      <c r="H1026" s="51" t="s">
        <v>157</v>
      </c>
      <c r="I1026" s="688"/>
      <c r="J1026" s="205"/>
      <c r="N1026" s="580" t="s">
        <v>26</v>
      </c>
      <c r="O1026" s="580" t="s">
        <v>27</v>
      </c>
      <c r="P1026" s="471" t="s">
        <v>166</v>
      </c>
      <c r="Q1026" s="581" t="s">
        <v>154</v>
      </c>
      <c r="R1026" s="449" t="s">
        <v>155</v>
      </c>
      <c r="S1026" s="450" t="s">
        <v>158</v>
      </c>
      <c r="T1026" s="446"/>
      <c r="U1026" s="446"/>
      <c r="V1026" s="446"/>
      <c r="W1026" s="446"/>
      <c r="X1026" s="446"/>
      <c r="AH1026" s="17"/>
      <c r="AI1026" s="17"/>
    </row>
    <row r="1027" spans="1:35" ht="15" customHeight="1" x14ac:dyDescent="0.25">
      <c r="A1027" s="21">
        <f>A$5</f>
        <v>1182</v>
      </c>
      <c r="B1027" s="148"/>
      <c r="C1027" s="144">
        <v>1</v>
      </c>
      <c r="D1027" s="247">
        <f>'Appendix J-2'!D68</f>
        <v>9</v>
      </c>
      <c r="E1027" s="22">
        <f>IF(F1027=0,0,F1027/D1027)</f>
        <v>160.11111111111111</v>
      </c>
      <c r="F1027" s="247">
        <f>'Appendix J-2'!F68</f>
        <v>1441</v>
      </c>
      <c r="G1027" s="24">
        <f>H1027/F1027</f>
        <v>403</v>
      </c>
      <c r="H1027" s="250">
        <f>'Appendix J-2'!H68</f>
        <v>580723</v>
      </c>
      <c r="I1027" s="688"/>
      <c r="J1027" s="205"/>
      <c r="N1027" s="453">
        <f>A1027</f>
        <v>1182</v>
      </c>
      <c r="O1027" s="582"/>
      <c r="P1027" s="583">
        <v>1</v>
      </c>
      <c r="Q1027" s="452">
        <f>D1027+D1513</f>
        <v>9</v>
      </c>
      <c r="R1027" s="451">
        <f>IF(S1027=0,0,S1027/Q1027)</f>
        <v>160.11111111111111</v>
      </c>
      <c r="S1027" s="452">
        <f>F1027+F1513</f>
        <v>1441</v>
      </c>
      <c r="T1027" s="446"/>
      <c r="U1027" s="446"/>
      <c r="V1027" s="446"/>
      <c r="W1027" s="446"/>
      <c r="X1027" s="446"/>
      <c r="AH1027" s="17"/>
      <c r="AI1027" s="17"/>
    </row>
    <row r="1028" spans="1:35" x14ac:dyDescent="0.25">
      <c r="A1028" s="21">
        <f>A$6</f>
        <v>1288</v>
      </c>
      <c r="B1028" s="149">
        <f>(A1028-A1027)/A1027</f>
        <v>8.9678510998307953E-2</v>
      </c>
      <c r="C1028" s="52">
        <v>2</v>
      </c>
      <c r="D1028" s="247">
        <f>'Appendix J-2'!I68</f>
        <v>7</v>
      </c>
      <c r="E1028" s="22">
        <f t="shared" ref="E1028:E1035" si="596">IF(F1028=0,0,F1028/D1028)</f>
        <v>216.42857142857142</v>
      </c>
      <c r="F1028" s="247">
        <f>'Appendix J-2'!K68</f>
        <v>1515</v>
      </c>
      <c r="G1028" s="24">
        <f t="shared" ref="G1028:G1035" si="597">H1028/F1028</f>
        <v>399.51485148514854</v>
      </c>
      <c r="H1028" s="250">
        <f>'Appendix J-2'!M68</f>
        <v>605265</v>
      </c>
      <c r="I1028" s="688"/>
      <c r="J1028" s="205"/>
      <c r="N1028" s="453">
        <f t="shared" ref="N1028:N1041" si="598">A1028</f>
        <v>1288</v>
      </c>
      <c r="O1028" s="584">
        <f>(N1028-N1027)/N1027</f>
        <v>8.9678510998307953E-2</v>
      </c>
      <c r="P1028" s="585">
        <v>2</v>
      </c>
      <c r="Q1028" s="452">
        <f t="shared" ref="Q1028:Q1035" si="599">D1028+D1514</f>
        <v>7</v>
      </c>
      <c r="R1028" s="451">
        <f t="shared" ref="R1028:R1035" si="600">IF(S1028=0,0,S1028/Q1028)</f>
        <v>216.42857142857142</v>
      </c>
      <c r="S1028" s="452">
        <f t="shared" ref="S1028:S1035" si="601">F1028+F1514</f>
        <v>1515</v>
      </c>
      <c r="T1028" s="446"/>
      <c r="U1028" s="446"/>
      <c r="V1028" s="446"/>
      <c r="W1028" s="446"/>
      <c r="X1028" s="446"/>
      <c r="AH1028" s="17"/>
      <c r="AI1028" s="17"/>
    </row>
    <row r="1029" spans="1:35" x14ac:dyDescent="0.25">
      <c r="A1029" s="21">
        <f>A$7</f>
        <v>1495</v>
      </c>
      <c r="B1029" s="149">
        <f t="shared" ref="B1029:B1041" si="602">(A1029-A1028)/A1028</f>
        <v>0.16071428571428573</v>
      </c>
      <c r="C1029" s="52">
        <v>3</v>
      </c>
      <c r="D1029" s="247">
        <f>'Appendix J-2'!N68</f>
        <v>9</v>
      </c>
      <c r="E1029" s="22">
        <f t="shared" si="596"/>
        <v>152</v>
      </c>
      <c r="F1029" s="247">
        <f>'Appendix J-2'!P68</f>
        <v>1368</v>
      </c>
      <c r="G1029" s="24">
        <f t="shared" si="597"/>
        <v>389.75818713450286</v>
      </c>
      <c r="H1029" s="248">
        <f>'Appendix J-2'!R68</f>
        <v>533189.19999999995</v>
      </c>
      <c r="I1029" s="688"/>
      <c r="J1029" s="205"/>
      <c r="N1029" s="453">
        <f t="shared" si="598"/>
        <v>1495</v>
      </c>
      <c r="O1029" s="584">
        <f t="shared" ref="O1029:O1041" si="603">(N1029-N1028)/N1028</f>
        <v>0.16071428571428573</v>
      </c>
      <c r="P1029" s="585">
        <v>3</v>
      </c>
      <c r="Q1029" s="452">
        <f t="shared" si="599"/>
        <v>9</v>
      </c>
      <c r="R1029" s="451">
        <f t="shared" si="600"/>
        <v>152</v>
      </c>
      <c r="S1029" s="452">
        <f t="shared" si="601"/>
        <v>1368</v>
      </c>
      <c r="T1029" s="446"/>
      <c r="U1029" s="446"/>
      <c r="V1029" s="446"/>
      <c r="W1029" s="446"/>
      <c r="X1029" s="446"/>
      <c r="AH1029" s="17"/>
      <c r="AI1029" s="17"/>
    </row>
    <row r="1030" spans="1:35" x14ac:dyDescent="0.25">
      <c r="A1030" s="21">
        <f>A$8</f>
        <v>1484</v>
      </c>
      <c r="B1030" s="149">
        <f t="shared" si="602"/>
        <v>-7.3578595317725752E-3</v>
      </c>
      <c r="C1030" s="52">
        <f t="shared" ref="C1030:C1041" si="604">C1029+1</f>
        <v>4</v>
      </c>
      <c r="D1030" s="247">
        <f>'Appendix J-2'!S68</f>
        <v>3</v>
      </c>
      <c r="E1030" s="22">
        <f t="shared" si="596"/>
        <v>40</v>
      </c>
      <c r="F1030" s="247">
        <f>'Appendix J-2'!U68</f>
        <v>120</v>
      </c>
      <c r="G1030" s="24">
        <f t="shared" si="597"/>
        <v>355.60333333333335</v>
      </c>
      <c r="H1030" s="248">
        <f>'Appendix J-2'!W68</f>
        <v>42672.4</v>
      </c>
      <c r="I1030" s="688"/>
      <c r="J1030" s="205"/>
      <c r="N1030" s="453">
        <f t="shared" si="598"/>
        <v>1484</v>
      </c>
      <c r="O1030" s="584">
        <f t="shared" si="603"/>
        <v>-7.3578595317725752E-3</v>
      </c>
      <c r="P1030" s="585">
        <f t="shared" ref="P1030:P1041" si="605">P1029+1</f>
        <v>4</v>
      </c>
      <c r="Q1030" s="452">
        <f t="shared" si="599"/>
        <v>3</v>
      </c>
      <c r="R1030" s="451">
        <f t="shared" si="600"/>
        <v>40</v>
      </c>
      <c r="S1030" s="452">
        <f t="shared" si="601"/>
        <v>120</v>
      </c>
      <c r="T1030" s="446"/>
      <c r="U1030" s="446"/>
      <c r="V1030" s="446"/>
      <c r="W1030" s="446"/>
      <c r="X1030" s="446"/>
      <c r="AH1030" s="17"/>
      <c r="AI1030" s="17"/>
    </row>
    <row r="1031" spans="1:35" x14ac:dyDescent="0.25">
      <c r="A1031" s="21">
        <f>A$9</f>
        <v>1528</v>
      </c>
      <c r="B1031" s="149">
        <f t="shared" si="602"/>
        <v>2.9649595687331536E-2</v>
      </c>
      <c r="C1031" s="52">
        <f t="shared" si="604"/>
        <v>5</v>
      </c>
      <c r="D1031" s="249">
        <f>'Appendix J-2'!X68</f>
        <v>1</v>
      </c>
      <c r="E1031" s="22">
        <f t="shared" si="596"/>
        <v>58</v>
      </c>
      <c r="F1031" s="249">
        <f>'Appendix J-2'!Z68</f>
        <v>58</v>
      </c>
      <c r="G1031" s="24">
        <f t="shared" si="597"/>
        <v>403</v>
      </c>
      <c r="H1031" s="248">
        <f>'Appendix J-2'!AB68</f>
        <v>23374</v>
      </c>
      <c r="I1031" s="688"/>
      <c r="J1031" s="205"/>
      <c r="N1031" s="453">
        <f t="shared" si="598"/>
        <v>1528</v>
      </c>
      <c r="O1031" s="584">
        <f t="shared" si="603"/>
        <v>2.9649595687331536E-2</v>
      </c>
      <c r="P1031" s="585">
        <f t="shared" si="605"/>
        <v>5</v>
      </c>
      <c r="Q1031" s="452">
        <f t="shared" si="599"/>
        <v>1</v>
      </c>
      <c r="R1031" s="451">
        <f t="shared" si="600"/>
        <v>58</v>
      </c>
      <c r="S1031" s="452">
        <f t="shared" si="601"/>
        <v>58</v>
      </c>
      <c r="T1031" s="446"/>
      <c r="U1031" s="446"/>
      <c r="V1031" s="446"/>
      <c r="W1031" s="446"/>
      <c r="X1031" s="446"/>
      <c r="AH1031" s="17"/>
      <c r="AI1031" s="17"/>
    </row>
    <row r="1032" spans="1:35" x14ac:dyDescent="0.25">
      <c r="A1032" s="21">
        <f>A$10</f>
        <v>1592</v>
      </c>
      <c r="B1032" s="149">
        <f t="shared" si="602"/>
        <v>4.1884816753926704E-2</v>
      </c>
      <c r="C1032" s="52">
        <f t="shared" si="604"/>
        <v>6</v>
      </c>
      <c r="D1032" s="249">
        <f>'Appendix J-2'!AC68</f>
        <v>0</v>
      </c>
      <c r="E1032" s="22">
        <f t="shared" si="596"/>
        <v>0</v>
      </c>
      <c r="F1032" s="249">
        <f>'Appendix J-2'!AE68</f>
        <v>0</v>
      </c>
      <c r="G1032" s="24" t="e">
        <f t="shared" si="597"/>
        <v>#DIV/0!</v>
      </c>
      <c r="H1032" s="248">
        <f>'Appendix J-2'!AG68</f>
        <v>0</v>
      </c>
      <c r="I1032" s="688"/>
      <c r="J1032" s="205"/>
      <c r="N1032" s="453">
        <f t="shared" si="598"/>
        <v>1592</v>
      </c>
      <c r="O1032" s="584">
        <f t="shared" si="603"/>
        <v>4.1884816753926704E-2</v>
      </c>
      <c r="P1032" s="585">
        <f t="shared" si="605"/>
        <v>6</v>
      </c>
      <c r="Q1032" s="452">
        <f t="shared" si="599"/>
        <v>0</v>
      </c>
      <c r="R1032" s="451">
        <f t="shared" si="600"/>
        <v>0</v>
      </c>
      <c r="S1032" s="452">
        <f t="shared" si="601"/>
        <v>0</v>
      </c>
      <c r="T1032" s="446"/>
      <c r="U1032" s="446"/>
      <c r="V1032" s="446"/>
      <c r="W1032" s="446"/>
      <c r="X1032" s="446"/>
      <c r="AH1032" s="17"/>
      <c r="AI1032" s="17"/>
    </row>
    <row r="1033" spans="1:35" x14ac:dyDescent="0.25">
      <c r="A1033" s="21">
        <f>A$11</f>
        <v>1642</v>
      </c>
      <c r="B1033" s="149">
        <f t="shared" si="602"/>
        <v>3.1407035175879394E-2</v>
      </c>
      <c r="C1033" s="20">
        <f t="shared" si="604"/>
        <v>7</v>
      </c>
      <c r="D1033" s="249">
        <f>'Appendix J-2'!AH68</f>
        <v>1</v>
      </c>
      <c r="E1033" s="22">
        <f t="shared" si="596"/>
        <v>12</v>
      </c>
      <c r="F1033" s="249">
        <f>'Appendix J-2'!AJ68</f>
        <v>12</v>
      </c>
      <c r="G1033" s="24">
        <f t="shared" si="597"/>
        <v>563.19999999999993</v>
      </c>
      <c r="H1033" s="248">
        <f>'Appendix J-2'!AL68</f>
        <v>6758.4</v>
      </c>
      <c r="I1033" s="688"/>
      <c r="J1033" s="205"/>
      <c r="N1033" s="453">
        <f t="shared" si="598"/>
        <v>1642</v>
      </c>
      <c r="O1033" s="584">
        <f t="shared" si="603"/>
        <v>3.1407035175879394E-2</v>
      </c>
      <c r="P1033" s="586">
        <f t="shared" si="605"/>
        <v>7</v>
      </c>
      <c r="Q1033" s="452">
        <f t="shared" si="599"/>
        <v>3</v>
      </c>
      <c r="R1033" s="451">
        <f t="shared" si="600"/>
        <v>92.333333333333329</v>
      </c>
      <c r="S1033" s="452">
        <f t="shared" si="601"/>
        <v>277</v>
      </c>
      <c r="T1033" s="682" t="s">
        <v>610</v>
      </c>
      <c r="U1033" s="683"/>
      <c r="V1033" s="683"/>
      <c r="W1033" s="683"/>
      <c r="X1033" s="683"/>
      <c r="AH1033" s="17"/>
      <c r="AI1033" s="17"/>
    </row>
    <row r="1034" spans="1:35" x14ac:dyDescent="0.25">
      <c r="A1034" s="21">
        <f>A$12</f>
        <v>1675</v>
      </c>
      <c r="B1034" s="149">
        <f t="shared" si="602"/>
        <v>2.0097442143727162E-2</v>
      </c>
      <c r="C1034" s="20">
        <f t="shared" si="604"/>
        <v>8</v>
      </c>
      <c r="D1034" s="249">
        <f>'Appendix J-2'!AM68</f>
        <v>2</v>
      </c>
      <c r="E1034" s="22">
        <f t="shared" si="596"/>
        <v>169.5</v>
      </c>
      <c r="F1034" s="249">
        <f>'Appendix J-2'!AO68</f>
        <v>339</v>
      </c>
      <c r="G1034" s="24">
        <f t="shared" si="597"/>
        <v>554.89498525073748</v>
      </c>
      <c r="H1034" s="248">
        <f>'Appendix J-2'!AQ68</f>
        <v>188109.4</v>
      </c>
      <c r="I1034" s="688"/>
      <c r="J1034" s="205"/>
      <c r="N1034" s="453">
        <f t="shared" si="598"/>
        <v>1675</v>
      </c>
      <c r="O1034" s="584">
        <f t="shared" si="603"/>
        <v>2.0097442143727162E-2</v>
      </c>
      <c r="P1034" s="586">
        <f t="shared" si="605"/>
        <v>8</v>
      </c>
      <c r="Q1034" s="452">
        <f t="shared" si="599"/>
        <v>3</v>
      </c>
      <c r="R1034" s="451">
        <f t="shared" si="600"/>
        <v>161.66666666666666</v>
      </c>
      <c r="S1034" s="452">
        <f t="shared" si="601"/>
        <v>485</v>
      </c>
      <c r="T1034" s="446"/>
      <c r="U1034" s="684" t="s">
        <v>154</v>
      </c>
      <c r="V1034" s="684"/>
      <c r="W1034" s="684" t="s">
        <v>609</v>
      </c>
      <c r="X1034" s="684"/>
      <c r="AH1034" s="17"/>
      <c r="AI1034" s="17"/>
    </row>
    <row r="1035" spans="1:35" x14ac:dyDescent="0.25">
      <c r="A1035" s="21">
        <f>A$13</f>
        <v>1739</v>
      </c>
      <c r="B1035" s="149">
        <f t="shared" si="602"/>
        <v>3.8208955223880597E-2</v>
      </c>
      <c r="C1035" s="20">
        <f t="shared" si="604"/>
        <v>9</v>
      </c>
      <c r="D1035" s="249">
        <f>'Appendix J-2'!AR68</f>
        <v>1</v>
      </c>
      <c r="E1035" s="22">
        <f t="shared" si="596"/>
        <v>226</v>
      </c>
      <c r="F1035" s="249">
        <f>'Appendix J-2'!AT68</f>
        <v>226</v>
      </c>
      <c r="G1035" s="24">
        <f t="shared" si="597"/>
        <v>570.74451327433621</v>
      </c>
      <c r="H1035" s="248">
        <f>'Appendix J-2'!AV68</f>
        <v>128988.26</v>
      </c>
      <c r="I1035" s="688"/>
      <c r="J1035" s="205"/>
      <c r="N1035" s="453">
        <f t="shared" si="598"/>
        <v>1739</v>
      </c>
      <c r="O1035" s="584">
        <f t="shared" si="603"/>
        <v>3.8208955223880597E-2</v>
      </c>
      <c r="P1035" s="586">
        <f t="shared" si="605"/>
        <v>9</v>
      </c>
      <c r="Q1035" s="452">
        <f t="shared" si="599"/>
        <v>1</v>
      </c>
      <c r="R1035" s="451">
        <f t="shared" si="600"/>
        <v>226</v>
      </c>
      <c r="S1035" s="452">
        <f t="shared" si="601"/>
        <v>226</v>
      </c>
      <c r="T1035" s="446"/>
      <c r="U1035" s="456" t="s">
        <v>608</v>
      </c>
      <c r="V1035" s="456" t="s">
        <v>578</v>
      </c>
      <c r="W1035" s="456" t="s">
        <v>608</v>
      </c>
      <c r="X1035" s="456" t="s">
        <v>578</v>
      </c>
      <c r="AH1035" s="17"/>
      <c r="AI1035" s="17"/>
    </row>
    <row r="1036" spans="1:35" x14ac:dyDescent="0.25">
      <c r="A1036" s="21">
        <f>A$14</f>
        <v>1752</v>
      </c>
      <c r="B1036" s="149">
        <f t="shared" si="602"/>
        <v>7.4755606670500289E-3</v>
      </c>
      <c r="C1036" s="20">
        <f t="shared" si="604"/>
        <v>10</v>
      </c>
      <c r="D1036" s="21">
        <f>AN839</f>
        <v>1</v>
      </c>
      <c r="E1036" s="22">
        <f>IF(TREND($E$1027:$E$1035,$C$1027:$C$1035,C1036)&lt;365,TREND($E$1027:$E$1035,$C$1027:$C$1035,C1036),365)</f>
        <v>98.457451499118164</v>
      </c>
      <c r="F1036" s="21">
        <f t="shared" ref="F1036" si="606">D1036*E1036</f>
        <v>98.457451499118164</v>
      </c>
      <c r="G1036" s="24">
        <f>'DDS Rates for Amend'!BJ17</f>
        <v>612.46</v>
      </c>
      <c r="H1036" s="33">
        <f t="shared" ref="H1036" si="607">F1036*G1036</f>
        <v>60301.250745149911</v>
      </c>
      <c r="I1036" s="688"/>
      <c r="J1036" s="205"/>
      <c r="N1036" s="453">
        <f t="shared" si="598"/>
        <v>1752</v>
      </c>
      <c r="O1036" s="584">
        <f t="shared" si="603"/>
        <v>7.4755606670500289E-3</v>
      </c>
      <c r="P1036" s="586">
        <f t="shared" si="605"/>
        <v>10</v>
      </c>
      <c r="Q1036" s="453">
        <f>ROUND(IF(TREND($Q$1027:$Q$1035,$N$1027:$N$1035,N1036)&gt;0,TREND($Q$1027:$Q$1035,$N$1027:$N$1035,N1036),0),0)</f>
        <v>1</v>
      </c>
      <c r="R1036" s="451">
        <f>IF(TREND($R$1027:$R$1035,$N$1027:$N$1035,N1036)&lt;365,TREND($R$1027:$R$1035,$N$1027:$N$1035,N1036),365)</f>
        <v>107.9167163722084</v>
      </c>
      <c r="S1036" s="453">
        <f t="shared" ref="S1036:S1041" si="608">Q1036*R1036</f>
        <v>107.9167163722084</v>
      </c>
      <c r="T1036" s="446">
        <v>10</v>
      </c>
      <c r="U1036" s="457">
        <f t="shared" ref="U1036:U1041" si="609">Q1036*$AB$839</f>
        <v>1</v>
      </c>
      <c r="V1036" s="457">
        <f t="shared" ref="V1036:V1041" si="610">Q1036*$AC$839</f>
        <v>0</v>
      </c>
      <c r="W1036" s="457">
        <f t="shared" ref="W1036:W1041" si="611">R1036*$AF$839</f>
        <v>107.9167163722084</v>
      </c>
      <c r="X1036" s="457">
        <f t="shared" ref="X1036:X1041" si="612">R1036*$AG$839</f>
        <v>0</v>
      </c>
      <c r="AH1036" s="17"/>
      <c r="AI1036" s="17"/>
    </row>
    <row r="1037" spans="1:35" x14ac:dyDescent="0.25">
      <c r="A1037" s="21">
        <f>A$15</f>
        <v>1822</v>
      </c>
      <c r="B1037" s="149">
        <f t="shared" si="602"/>
        <v>3.9954337899543377E-2</v>
      </c>
      <c r="C1037" s="20">
        <f t="shared" si="604"/>
        <v>11</v>
      </c>
      <c r="D1037" s="21">
        <f>AQ839</f>
        <v>1</v>
      </c>
      <c r="E1037" s="22">
        <f t="shared" ref="E1037:E1041" si="613">IF(TREND($E$1027:$E$1035,$C$1027:$C$1035,C1037)&lt;365,TREND($E$1027:$E$1035,$C$1027:$C$1035,C1037),365)</f>
        <v>95.170282186948853</v>
      </c>
      <c r="F1037" s="21">
        <f t="shared" ref="F1037:F1041" si="614">D1037*E1037</f>
        <v>95.170282186948853</v>
      </c>
      <c r="G1037" s="24">
        <f>'DDS Rates for Amend'!BJ18</f>
        <v>628.38396</v>
      </c>
      <c r="H1037" s="33">
        <f t="shared" ref="H1037:H1041" si="615">F1037*G1037</f>
        <v>59803.478794952382</v>
      </c>
      <c r="I1037" s="688"/>
      <c r="J1037" s="205"/>
      <c r="N1037" s="453">
        <f t="shared" si="598"/>
        <v>1822</v>
      </c>
      <c r="O1037" s="584">
        <f t="shared" si="603"/>
        <v>3.9954337899543377E-2</v>
      </c>
      <c r="P1037" s="586">
        <f t="shared" si="605"/>
        <v>11</v>
      </c>
      <c r="Q1037" s="453">
        <f t="shared" ref="Q1037:Q1041" si="616">ROUND(IF(TREND($Q$1027:$Q$1035,$N$1027:$N$1035,N1037)&gt;0,TREND($Q$1027:$Q$1035,$N$1027:$N$1035,N1037),0),0)</f>
        <v>0</v>
      </c>
      <c r="R1037" s="451">
        <f t="shared" ref="R1037:R1041" si="617">IF(TREND($R$1027:$R$1035,$N$1027:$N$1035,N1037)&lt;365,TREND($R$1027:$R$1035,$N$1027:$N$1035,N1037),365)</f>
        <v>103.497562632924</v>
      </c>
      <c r="S1037" s="453">
        <f t="shared" si="608"/>
        <v>0</v>
      </c>
      <c r="T1037" s="446">
        <v>11</v>
      </c>
      <c r="U1037" s="457">
        <f t="shared" si="609"/>
        <v>0</v>
      </c>
      <c r="V1037" s="457">
        <f t="shared" si="610"/>
        <v>0</v>
      </c>
      <c r="W1037" s="457">
        <f t="shared" si="611"/>
        <v>103.497562632924</v>
      </c>
      <c r="X1037" s="457">
        <f t="shared" si="612"/>
        <v>0</v>
      </c>
      <c r="AH1037" s="17"/>
      <c r="AI1037" s="17"/>
    </row>
    <row r="1038" spans="1:35" x14ac:dyDescent="0.25">
      <c r="A1038" s="21">
        <f>A$16</f>
        <v>1872</v>
      </c>
      <c r="B1038" s="149">
        <f t="shared" si="602"/>
        <v>2.7442371020856202E-2</v>
      </c>
      <c r="C1038" s="20">
        <f t="shared" si="604"/>
        <v>12</v>
      </c>
      <c r="D1038" s="21">
        <f>AT839</f>
        <v>1</v>
      </c>
      <c r="E1038" s="22">
        <f t="shared" si="613"/>
        <v>91.883112874779542</v>
      </c>
      <c r="F1038" s="21">
        <f t="shared" si="614"/>
        <v>91.883112874779542</v>
      </c>
      <c r="G1038" s="24">
        <f>'DDS Rates for Amend'!BJ19</f>
        <v>644.72194295999998</v>
      </c>
      <c r="H1038" s="33">
        <f t="shared" si="615"/>
        <v>59239.059057840852</v>
      </c>
      <c r="I1038" s="688"/>
      <c r="J1038" s="205"/>
      <c r="N1038" s="453">
        <f t="shared" si="598"/>
        <v>1872</v>
      </c>
      <c r="O1038" s="584">
        <f t="shared" si="603"/>
        <v>2.7442371020856202E-2</v>
      </c>
      <c r="P1038" s="586">
        <f t="shared" si="605"/>
        <v>12</v>
      </c>
      <c r="Q1038" s="453">
        <f t="shared" si="616"/>
        <v>0</v>
      </c>
      <c r="R1038" s="451">
        <f t="shared" si="617"/>
        <v>100.34102424772085</v>
      </c>
      <c r="S1038" s="453">
        <f t="shared" si="608"/>
        <v>0</v>
      </c>
      <c r="T1038" s="446">
        <v>12</v>
      </c>
      <c r="U1038" s="457">
        <f t="shared" si="609"/>
        <v>0</v>
      </c>
      <c r="V1038" s="457">
        <f t="shared" si="610"/>
        <v>0</v>
      </c>
      <c r="W1038" s="457">
        <f t="shared" si="611"/>
        <v>100.34102424772085</v>
      </c>
      <c r="X1038" s="457">
        <f t="shared" si="612"/>
        <v>0</v>
      </c>
      <c r="AH1038" s="17"/>
      <c r="AI1038" s="17"/>
    </row>
    <row r="1039" spans="1:35" x14ac:dyDescent="0.25">
      <c r="A1039" s="21">
        <f>A$17</f>
        <v>1902</v>
      </c>
      <c r="B1039" s="149">
        <f t="shared" si="602"/>
        <v>1.6025641025641024E-2</v>
      </c>
      <c r="C1039" s="20">
        <f t="shared" si="604"/>
        <v>13</v>
      </c>
      <c r="D1039" s="21">
        <f>AW839</f>
        <v>1</v>
      </c>
      <c r="E1039" s="22">
        <f t="shared" si="613"/>
        <v>88.595943562610231</v>
      </c>
      <c r="F1039" s="21">
        <f t="shared" si="614"/>
        <v>88.595943562610231</v>
      </c>
      <c r="G1039" s="24">
        <f>'DDS Rates for Amend'!BJ20</f>
        <v>661.48471347696</v>
      </c>
      <c r="H1039" s="33">
        <f t="shared" si="615"/>
        <v>58604.862342734144</v>
      </c>
      <c r="I1039" s="688"/>
      <c r="J1039" s="205"/>
      <c r="N1039" s="453">
        <f t="shared" si="598"/>
        <v>1902</v>
      </c>
      <c r="O1039" s="584">
        <f t="shared" si="603"/>
        <v>1.6025641025641024E-2</v>
      </c>
      <c r="P1039" s="586">
        <f t="shared" si="605"/>
        <v>13</v>
      </c>
      <c r="Q1039" s="453">
        <f t="shared" si="616"/>
        <v>0</v>
      </c>
      <c r="R1039" s="451">
        <f t="shared" si="617"/>
        <v>98.447101216598966</v>
      </c>
      <c r="S1039" s="453">
        <f t="shared" si="608"/>
        <v>0</v>
      </c>
      <c r="T1039" s="446">
        <v>13</v>
      </c>
      <c r="U1039" s="457">
        <f t="shared" si="609"/>
        <v>0</v>
      </c>
      <c r="V1039" s="457">
        <f t="shared" si="610"/>
        <v>0</v>
      </c>
      <c r="W1039" s="457">
        <f t="shared" si="611"/>
        <v>98.447101216598966</v>
      </c>
      <c r="X1039" s="457">
        <f t="shared" si="612"/>
        <v>0</v>
      </c>
      <c r="AH1039" s="17"/>
      <c r="AI1039" s="17"/>
    </row>
    <row r="1040" spans="1:35" x14ac:dyDescent="0.25">
      <c r="A1040" s="21">
        <f>A$18</f>
        <v>1932</v>
      </c>
      <c r="B1040" s="149">
        <f t="shared" si="602"/>
        <v>1.5772870662460567E-2</v>
      </c>
      <c r="C1040" s="20">
        <f t="shared" si="604"/>
        <v>14</v>
      </c>
      <c r="D1040" s="21">
        <f>AZ839</f>
        <v>1</v>
      </c>
      <c r="E1040" s="22">
        <f t="shared" si="613"/>
        <v>85.308774250440933</v>
      </c>
      <c r="F1040" s="21">
        <f t="shared" si="614"/>
        <v>85.308774250440933</v>
      </c>
      <c r="G1040" s="24">
        <f>'DDS Rates for Amend'!BJ21</f>
        <v>678.683316027361</v>
      </c>
      <c r="H1040" s="33">
        <f t="shared" si="615"/>
        <v>57897.6417945188</v>
      </c>
      <c r="I1040" s="688"/>
      <c r="J1040" s="205"/>
      <c r="N1040" s="453">
        <f t="shared" si="598"/>
        <v>1932</v>
      </c>
      <c r="O1040" s="584">
        <f t="shared" si="603"/>
        <v>1.5772870662460567E-2</v>
      </c>
      <c r="P1040" s="586">
        <f t="shared" si="605"/>
        <v>14</v>
      </c>
      <c r="Q1040" s="453">
        <f t="shared" si="616"/>
        <v>0</v>
      </c>
      <c r="R1040" s="451">
        <f t="shared" si="617"/>
        <v>96.55317818547708</v>
      </c>
      <c r="S1040" s="453">
        <f t="shared" si="608"/>
        <v>0</v>
      </c>
      <c r="T1040" s="446">
        <v>14</v>
      </c>
      <c r="U1040" s="457">
        <f t="shared" si="609"/>
        <v>0</v>
      </c>
      <c r="V1040" s="457">
        <f t="shared" si="610"/>
        <v>0</v>
      </c>
      <c r="W1040" s="457">
        <f t="shared" si="611"/>
        <v>96.55317818547708</v>
      </c>
      <c r="X1040" s="457">
        <f t="shared" si="612"/>
        <v>0</v>
      </c>
      <c r="AH1040" s="17"/>
      <c r="AI1040" s="17"/>
    </row>
    <row r="1041" spans="1:35" x14ac:dyDescent="0.25">
      <c r="A1041" s="21">
        <f>A$19</f>
        <v>1962</v>
      </c>
      <c r="B1041" s="149">
        <f t="shared" si="602"/>
        <v>1.5527950310559006E-2</v>
      </c>
      <c r="C1041" s="20">
        <f t="shared" si="604"/>
        <v>15</v>
      </c>
      <c r="D1041" s="21">
        <f>BC839</f>
        <v>1</v>
      </c>
      <c r="E1041" s="22">
        <f t="shared" si="613"/>
        <v>82.021604938271622</v>
      </c>
      <c r="F1041" s="21">
        <f t="shared" si="614"/>
        <v>82.021604938271622</v>
      </c>
      <c r="G1041" s="24">
        <f>'DDS Rates for Amend'!BJ22</f>
        <v>696.32908224407242</v>
      </c>
      <c r="H1041" s="33">
        <f t="shared" si="615"/>
        <v>57114.028890852554</v>
      </c>
      <c r="I1041" s="689"/>
      <c r="J1041" s="205"/>
      <c r="K1041" s="285">
        <f>SUM(H1027:H1041)</f>
        <v>2462039.9816260482</v>
      </c>
      <c r="L1041" s="17">
        <f>IF(K1041='Appendix J-2'!CD68,0,error)</f>
        <v>0</v>
      </c>
      <c r="N1041" s="453">
        <f t="shared" si="598"/>
        <v>1962</v>
      </c>
      <c r="O1041" s="584">
        <f t="shared" si="603"/>
        <v>1.5527950310559006E-2</v>
      </c>
      <c r="P1041" s="586">
        <f t="shared" si="605"/>
        <v>15</v>
      </c>
      <c r="Q1041" s="453">
        <f t="shared" si="616"/>
        <v>0</v>
      </c>
      <c r="R1041" s="451">
        <f t="shared" si="617"/>
        <v>94.659255154355193</v>
      </c>
      <c r="S1041" s="453">
        <f t="shared" si="608"/>
        <v>0</v>
      </c>
      <c r="T1041" s="446">
        <v>15</v>
      </c>
      <c r="U1041" s="457">
        <f t="shared" si="609"/>
        <v>0</v>
      </c>
      <c r="V1041" s="457">
        <f t="shared" si="610"/>
        <v>0</v>
      </c>
      <c r="W1041" s="457">
        <f t="shared" si="611"/>
        <v>94.659255154355193</v>
      </c>
      <c r="X1041" s="457">
        <f t="shared" si="612"/>
        <v>0</v>
      </c>
      <c r="AH1041" s="17"/>
      <c r="AI1041" s="17"/>
    </row>
    <row r="1042" spans="1:35" x14ac:dyDescent="0.25">
      <c r="C1042"/>
      <c r="I1042" s="568"/>
      <c r="J1042"/>
      <c r="N1042" s="446"/>
      <c r="O1042" s="446"/>
      <c r="P1042" s="446"/>
      <c r="Q1042" s="466"/>
      <c r="R1042" s="454"/>
      <c r="S1042" s="446"/>
      <c r="T1042" s="446"/>
      <c r="U1042" s="446"/>
      <c r="V1042" s="446"/>
      <c r="W1042" s="446"/>
      <c r="X1042" s="446"/>
      <c r="AH1042" s="17"/>
      <c r="AI1042" s="17"/>
    </row>
    <row r="1043" spans="1:35" x14ac:dyDescent="0.25">
      <c r="A1043" s="271" t="s">
        <v>63</v>
      </c>
      <c r="B1043" s="272"/>
      <c r="C1043" s="272"/>
      <c r="D1043" s="292" t="str">
        <f>'Appendix J-2'!B69</f>
        <v>Assistance</v>
      </c>
      <c r="E1043" s="223" t="str">
        <f>'Appendix J-2'!C69</f>
        <v>1 day</v>
      </c>
      <c r="F1043" s="690"/>
      <c r="G1043" s="690"/>
      <c r="H1043" s="690"/>
      <c r="I1043" s="687" t="s">
        <v>1109</v>
      </c>
      <c r="J1043" s="205"/>
      <c r="N1043" s="577" t="s">
        <v>575</v>
      </c>
      <c r="O1043" s="578"/>
      <c r="P1043" s="578"/>
      <c r="Q1043" s="579"/>
      <c r="R1043" s="447"/>
      <c r="S1043" s="448"/>
      <c r="T1043" s="446"/>
      <c r="U1043" s="446"/>
      <c r="V1043" s="446"/>
      <c r="W1043" s="446"/>
      <c r="X1043" s="446"/>
      <c r="AH1043" s="17"/>
      <c r="AI1043" s="17"/>
    </row>
    <row r="1044" spans="1:35" ht="30" x14ac:dyDescent="0.25">
      <c r="A1044" s="147" t="s">
        <v>26</v>
      </c>
      <c r="B1044" s="147" t="s">
        <v>27</v>
      </c>
      <c r="C1044" s="50" t="s">
        <v>166</v>
      </c>
      <c r="D1044" s="91" t="s">
        <v>154</v>
      </c>
      <c r="E1044" s="89" t="s">
        <v>155</v>
      </c>
      <c r="F1044" s="34" t="s">
        <v>158</v>
      </c>
      <c r="G1044" s="35" t="s">
        <v>156</v>
      </c>
      <c r="H1044" s="51" t="s">
        <v>157</v>
      </c>
      <c r="I1044" s="688"/>
      <c r="J1044" s="205"/>
      <c r="N1044" s="580" t="s">
        <v>26</v>
      </c>
      <c r="O1044" s="580" t="s">
        <v>27</v>
      </c>
      <c r="P1044" s="471" t="s">
        <v>166</v>
      </c>
      <c r="Q1044" s="581" t="s">
        <v>154</v>
      </c>
      <c r="R1044" s="449" t="s">
        <v>155</v>
      </c>
      <c r="S1044" s="450" t="s">
        <v>158</v>
      </c>
      <c r="T1044" s="446"/>
      <c r="U1044" s="446"/>
      <c r="V1044" s="446"/>
      <c r="W1044" s="446"/>
      <c r="X1044" s="446"/>
      <c r="AH1044" s="17"/>
      <c r="AI1044" s="17"/>
    </row>
    <row r="1045" spans="1:35" ht="15" customHeight="1" x14ac:dyDescent="0.25">
      <c r="A1045" s="21">
        <f>A$5</f>
        <v>1182</v>
      </c>
      <c r="B1045" s="148"/>
      <c r="C1045" s="144">
        <v>1</v>
      </c>
      <c r="D1045" s="247">
        <f>'Appendix J-2'!D69</f>
        <v>151</v>
      </c>
      <c r="E1045" s="22">
        <f>IF(F1045=0,0,F1045/D1045)</f>
        <v>210.27152317880794</v>
      </c>
      <c r="F1045" s="247">
        <f>'Appendix J-2'!F69</f>
        <v>31751</v>
      </c>
      <c r="G1045" s="24">
        <f>H1045/F1045</f>
        <v>491.97091115240465</v>
      </c>
      <c r="H1045" s="250">
        <f>'Appendix J-2'!H69</f>
        <v>15620568.4</v>
      </c>
      <c r="I1045" s="688"/>
      <c r="J1045" s="205"/>
      <c r="N1045" s="453">
        <f>A1045</f>
        <v>1182</v>
      </c>
      <c r="O1045" s="582"/>
      <c r="P1045" s="583">
        <v>1</v>
      </c>
      <c r="Q1045" s="452">
        <f>D1045+D1531</f>
        <v>151</v>
      </c>
      <c r="R1045" s="451">
        <f>IF(S1045=0,0,S1045/Q1045)</f>
        <v>210.27152317880794</v>
      </c>
      <c r="S1045" s="452">
        <f>+F1045+F1531</f>
        <v>31751</v>
      </c>
      <c r="T1045" s="446"/>
      <c r="U1045" s="446"/>
      <c r="V1045" s="446"/>
      <c r="W1045" s="446"/>
      <c r="X1045" s="446"/>
      <c r="AH1045" s="17"/>
      <c r="AI1045" s="17"/>
    </row>
    <row r="1046" spans="1:35" x14ac:dyDescent="0.25">
      <c r="A1046" s="21">
        <f>A$6</f>
        <v>1288</v>
      </c>
      <c r="B1046" s="149">
        <f>(A1046-A1045)/A1045</f>
        <v>8.9678510998307953E-2</v>
      </c>
      <c r="C1046" s="52">
        <v>2</v>
      </c>
      <c r="D1046" s="247">
        <f>'Appendix J-2'!I69</f>
        <v>141</v>
      </c>
      <c r="E1046" s="22">
        <f t="shared" ref="E1046:E1053" si="618">IF(F1046=0,0,F1046/D1046)</f>
        <v>250.75886524822695</v>
      </c>
      <c r="F1046" s="247">
        <f>'Appendix J-2'!K69</f>
        <v>35357</v>
      </c>
      <c r="G1046" s="24">
        <f t="shared" ref="G1046:G1053" si="619">H1046/F1046</f>
        <v>493.09678847187257</v>
      </c>
      <c r="H1046" s="250">
        <f>'Appendix J-2'!M69</f>
        <v>17434423.149999999</v>
      </c>
      <c r="I1046" s="688"/>
      <c r="J1046" s="205"/>
      <c r="N1046" s="453">
        <f t="shared" ref="N1046:N1059" si="620">A1046</f>
        <v>1288</v>
      </c>
      <c r="O1046" s="584">
        <f>(N1046-N1045)/N1045</f>
        <v>8.9678510998307953E-2</v>
      </c>
      <c r="P1046" s="585">
        <v>2</v>
      </c>
      <c r="Q1046" s="452">
        <f t="shared" ref="Q1046:Q1053" si="621">D1046+D1532</f>
        <v>141</v>
      </c>
      <c r="R1046" s="451">
        <f t="shared" ref="R1046:R1053" si="622">IF(S1046=0,0,S1046/Q1046)</f>
        <v>250.75886524822695</v>
      </c>
      <c r="S1046" s="452">
        <f t="shared" ref="S1046:S1053" si="623">+F1046+F1532</f>
        <v>35357</v>
      </c>
      <c r="T1046" s="446"/>
      <c r="U1046" s="446"/>
      <c r="V1046" s="446"/>
      <c r="W1046" s="446"/>
      <c r="X1046" s="446"/>
      <c r="AH1046" s="17"/>
      <c r="AI1046" s="17"/>
    </row>
    <row r="1047" spans="1:35" x14ac:dyDescent="0.25">
      <c r="A1047" s="21">
        <f>A$7</f>
        <v>1495</v>
      </c>
      <c r="B1047" s="149">
        <f t="shared" ref="B1047:B1059" si="624">(A1047-A1046)/A1046</f>
        <v>0.16071428571428573</v>
      </c>
      <c r="C1047" s="52">
        <v>3</v>
      </c>
      <c r="D1047" s="247">
        <f>'Appendix J-2'!N69</f>
        <v>129</v>
      </c>
      <c r="E1047" s="22">
        <f t="shared" si="618"/>
        <v>240.86821705426357</v>
      </c>
      <c r="F1047" s="247">
        <f>'Appendix J-2'!P69</f>
        <v>31072</v>
      </c>
      <c r="G1047" s="24">
        <f t="shared" si="619"/>
        <v>492.40511360710605</v>
      </c>
      <c r="H1047" s="248">
        <f>'Appendix J-2'!R69</f>
        <v>15300011.689999999</v>
      </c>
      <c r="I1047" s="688"/>
      <c r="J1047" s="205"/>
      <c r="N1047" s="453">
        <f t="shared" si="620"/>
        <v>1495</v>
      </c>
      <c r="O1047" s="584">
        <f t="shared" ref="O1047:O1059" si="625">(N1047-N1046)/N1046</f>
        <v>0.16071428571428573</v>
      </c>
      <c r="P1047" s="585">
        <v>3</v>
      </c>
      <c r="Q1047" s="452">
        <f t="shared" si="621"/>
        <v>129</v>
      </c>
      <c r="R1047" s="451">
        <f t="shared" si="622"/>
        <v>240.86821705426357</v>
      </c>
      <c r="S1047" s="452">
        <f t="shared" si="623"/>
        <v>31072</v>
      </c>
      <c r="T1047" s="446"/>
      <c r="U1047" s="446"/>
      <c r="V1047" s="446"/>
      <c r="W1047" s="446"/>
      <c r="X1047" s="446"/>
      <c r="AH1047" s="17"/>
      <c r="AI1047" s="17"/>
    </row>
    <row r="1048" spans="1:35" x14ac:dyDescent="0.25">
      <c r="A1048" s="21">
        <f>A$8</f>
        <v>1484</v>
      </c>
      <c r="B1048" s="149">
        <f t="shared" si="624"/>
        <v>-7.3578595317725752E-3</v>
      </c>
      <c r="C1048" s="52">
        <f t="shared" ref="C1048:C1059" si="626">C1047+1</f>
        <v>4</v>
      </c>
      <c r="D1048" s="247">
        <f>'Appendix J-2'!S69</f>
        <v>100</v>
      </c>
      <c r="E1048" s="22">
        <f t="shared" si="618"/>
        <v>203.15</v>
      </c>
      <c r="F1048" s="247">
        <f>'Appendix J-2'!U69</f>
        <v>20315</v>
      </c>
      <c r="G1048" s="24">
        <f t="shared" si="619"/>
        <v>497.3579739109033</v>
      </c>
      <c r="H1048" s="248">
        <f>'Appendix J-2'!W69</f>
        <v>10103827.24</v>
      </c>
      <c r="I1048" s="688"/>
      <c r="J1048" s="205"/>
      <c r="N1048" s="453">
        <f t="shared" si="620"/>
        <v>1484</v>
      </c>
      <c r="O1048" s="584">
        <f t="shared" si="625"/>
        <v>-7.3578595317725752E-3</v>
      </c>
      <c r="P1048" s="585">
        <f t="shared" ref="P1048:P1059" si="627">P1047+1</f>
        <v>4</v>
      </c>
      <c r="Q1048" s="452">
        <f t="shared" si="621"/>
        <v>100</v>
      </c>
      <c r="R1048" s="451">
        <f t="shared" si="622"/>
        <v>203.15</v>
      </c>
      <c r="S1048" s="452">
        <f t="shared" si="623"/>
        <v>20315</v>
      </c>
      <c r="T1048" s="446"/>
      <c r="U1048" s="446"/>
      <c r="V1048" s="446"/>
      <c r="W1048" s="446"/>
      <c r="X1048" s="446"/>
      <c r="AH1048" s="17"/>
      <c r="AI1048" s="17"/>
    </row>
    <row r="1049" spans="1:35" x14ac:dyDescent="0.25">
      <c r="A1049" s="21">
        <f>A$9</f>
        <v>1528</v>
      </c>
      <c r="B1049" s="149">
        <f t="shared" si="624"/>
        <v>2.9649595687331536E-2</v>
      </c>
      <c r="C1049" s="52">
        <f t="shared" si="626"/>
        <v>5</v>
      </c>
      <c r="D1049" s="249">
        <f>'Appendix J-2'!X69</f>
        <v>53</v>
      </c>
      <c r="E1049" s="22">
        <f t="shared" si="618"/>
        <v>255.81132075471697</v>
      </c>
      <c r="F1049" s="249">
        <f>'Appendix J-2'!Z69</f>
        <v>13558</v>
      </c>
      <c r="G1049" s="24">
        <f t="shared" si="619"/>
        <v>494.09615430004425</v>
      </c>
      <c r="H1049" s="248">
        <f>'Appendix J-2'!AB69</f>
        <v>6698955.6600000001</v>
      </c>
      <c r="I1049" s="688"/>
      <c r="J1049" s="205"/>
      <c r="N1049" s="453">
        <f t="shared" si="620"/>
        <v>1528</v>
      </c>
      <c r="O1049" s="584">
        <f t="shared" si="625"/>
        <v>2.9649595687331536E-2</v>
      </c>
      <c r="P1049" s="585">
        <f t="shared" si="627"/>
        <v>5</v>
      </c>
      <c r="Q1049" s="452">
        <f t="shared" si="621"/>
        <v>53</v>
      </c>
      <c r="R1049" s="451">
        <f t="shared" si="622"/>
        <v>255.81132075471697</v>
      </c>
      <c r="S1049" s="452">
        <f t="shared" si="623"/>
        <v>13558</v>
      </c>
      <c r="T1049" s="446"/>
      <c r="U1049" s="446"/>
      <c r="V1049" s="446"/>
      <c r="W1049" s="446"/>
      <c r="X1049" s="446"/>
      <c r="AH1049" s="17"/>
      <c r="AI1049" s="17"/>
    </row>
    <row r="1050" spans="1:35" x14ac:dyDescent="0.25">
      <c r="A1050" s="21">
        <f>A$10</f>
        <v>1592</v>
      </c>
      <c r="B1050" s="149">
        <f t="shared" si="624"/>
        <v>4.1884816753926704E-2</v>
      </c>
      <c r="C1050" s="52">
        <f t="shared" si="626"/>
        <v>6</v>
      </c>
      <c r="D1050" s="249">
        <f>'Appendix J-2'!AC69</f>
        <v>90</v>
      </c>
      <c r="E1050" s="22">
        <f t="shared" si="618"/>
        <v>157.96666666666667</v>
      </c>
      <c r="F1050" s="249">
        <f>'Appendix J-2'!AE69</f>
        <v>14217</v>
      </c>
      <c r="G1050" s="24">
        <f t="shared" si="619"/>
        <v>572.84731237251185</v>
      </c>
      <c r="H1050" s="248">
        <f>'Appendix J-2'!AG69</f>
        <v>8144170.2400000002</v>
      </c>
      <c r="I1050" s="688"/>
      <c r="J1050" s="205"/>
      <c r="N1050" s="453">
        <f t="shared" si="620"/>
        <v>1592</v>
      </c>
      <c r="O1050" s="584">
        <f t="shared" si="625"/>
        <v>4.1884816753926704E-2</v>
      </c>
      <c r="P1050" s="585">
        <f t="shared" si="627"/>
        <v>6</v>
      </c>
      <c r="Q1050" s="452">
        <f t="shared" si="621"/>
        <v>90</v>
      </c>
      <c r="R1050" s="451">
        <f t="shared" si="622"/>
        <v>157.96666666666667</v>
      </c>
      <c r="S1050" s="452">
        <f t="shared" si="623"/>
        <v>14217</v>
      </c>
      <c r="T1050" s="446"/>
      <c r="U1050" s="446"/>
      <c r="V1050" s="446"/>
      <c r="W1050" s="446"/>
      <c r="X1050" s="446"/>
      <c r="AH1050" s="17"/>
      <c r="AI1050" s="17"/>
    </row>
    <row r="1051" spans="1:35" x14ac:dyDescent="0.25">
      <c r="A1051" s="21">
        <f>A$11</f>
        <v>1642</v>
      </c>
      <c r="B1051" s="149">
        <f t="shared" si="624"/>
        <v>3.1407035175879394E-2</v>
      </c>
      <c r="C1051" s="20">
        <f t="shared" si="626"/>
        <v>7</v>
      </c>
      <c r="D1051" s="249">
        <f>'Appendix J-2'!AH69</f>
        <v>94</v>
      </c>
      <c r="E1051" s="22">
        <f t="shared" si="618"/>
        <v>142.39361702127658</v>
      </c>
      <c r="F1051" s="249">
        <f>'Appendix J-2'!AJ69</f>
        <v>13385</v>
      </c>
      <c r="G1051" s="24">
        <f t="shared" si="619"/>
        <v>579.4273343294733</v>
      </c>
      <c r="H1051" s="248">
        <f>'Appendix J-2'!AL69</f>
        <v>7755634.8700000001</v>
      </c>
      <c r="I1051" s="688"/>
      <c r="J1051" s="205"/>
      <c r="N1051" s="453">
        <f t="shared" si="620"/>
        <v>1642</v>
      </c>
      <c r="O1051" s="584">
        <f t="shared" si="625"/>
        <v>3.1407035175879394E-2</v>
      </c>
      <c r="P1051" s="586">
        <f t="shared" si="627"/>
        <v>7</v>
      </c>
      <c r="Q1051" s="452">
        <f t="shared" si="621"/>
        <v>107</v>
      </c>
      <c r="R1051" s="451">
        <f t="shared" si="622"/>
        <v>131.70093457943926</v>
      </c>
      <c r="S1051" s="452">
        <f t="shared" si="623"/>
        <v>14092</v>
      </c>
      <c r="T1051" s="682" t="s">
        <v>610</v>
      </c>
      <c r="U1051" s="683"/>
      <c r="V1051" s="683"/>
      <c r="W1051" s="683"/>
      <c r="X1051" s="683"/>
      <c r="AH1051" s="17"/>
      <c r="AI1051" s="17"/>
    </row>
    <row r="1052" spans="1:35" x14ac:dyDescent="0.25">
      <c r="A1052" s="21">
        <f>A$12</f>
        <v>1675</v>
      </c>
      <c r="B1052" s="149">
        <f t="shared" si="624"/>
        <v>2.0097442143727162E-2</v>
      </c>
      <c r="C1052" s="20">
        <f t="shared" si="626"/>
        <v>8</v>
      </c>
      <c r="D1052" s="249">
        <f>'Appendix J-2'!AM69</f>
        <v>46</v>
      </c>
      <c r="E1052" s="22">
        <f t="shared" si="618"/>
        <v>213.65217391304347</v>
      </c>
      <c r="F1052" s="249">
        <f>'Appendix J-2'!AO69</f>
        <v>9828</v>
      </c>
      <c r="G1052" s="24">
        <f t="shared" si="619"/>
        <v>618.726103988604</v>
      </c>
      <c r="H1052" s="248">
        <f>'Appendix J-2'!AQ69</f>
        <v>6080840.1500000004</v>
      </c>
      <c r="I1052" s="688"/>
      <c r="J1052" s="205"/>
      <c r="N1052" s="453">
        <f t="shared" si="620"/>
        <v>1675</v>
      </c>
      <c r="O1052" s="584">
        <f t="shared" si="625"/>
        <v>2.0097442143727162E-2</v>
      </c>
      <c r="P1052" s="586">
        <f t="shared" si="627"/>
        <v>8</v>
      </c>
      <c r="Q1052" s="452">
        <f t="shared" si="621"/>
        <v>68</v>
      </c>
      <c r="R1052" s="451">
        <f t="shared" si="622"/>
        <v>216.58823529411765</v>
      </c>
      <c r="S1052" s="452">
        <f t="shared" si="623"/>
        <v>14728</v>
      </c>
      <c r="T1052" s="446"/>
      <c r="U1052" s="684" t="s">
        <v>154</v>
      </c>
      <c r="V1052" s="684"/>
      <c r="W1052" s="684" t="s">
        <v>609</v>
      </c>
      <c r="X1052" s="684"/>
      <c r="AH1052" s="17"/>
      <c r="AI1052" s="17"/>
    </row>
    <row r="1053" spans="1:35" x14ac:dyDescent="0.25">
      <c r="A1053" s="21">
        <f>A$13</f>
        <v>1739</v>
      </c>
      <c r="B1053" s="149">
        <f t="shared" si="624"/>
        <v>3.8208955223880597E-2</v>
      </c>
      <c r="C1053" s="20">
        <f t="shared" si="626"/>
        <v>9</v>
      </c>
      <c r="D1053" s="249">
        <f>'Appendix J-2'!AR69</f>
        <v>54</v>
      </c>
      <c r="E1053" s="22">
        <f t="shared" si="618"/>
        <v>200.85185185185185</v>
      </c>
      <c r="F1053" s="249">
        <f>'Appendix J-2'!AT69</f>
        <v>10846</v>
      </c>
      <c r="G1053" s="24">
        <f t="shared" si="619"/>
        <v>624.15443020468376</v>
      </c>
      <c r="H1053" s="248">
        <f>'Appendix J-2'!AV69</f>
        <v>6769578.9500000002</v>
      </c>
      <c r="I1053" s="688"/>
      <c r="J1053" s="205"/>
      <c r="N1053" s="453">
        <f t="shared" si="620"/>
        <v>1739</v>
      </c>
      <c r="O1053" s="584">
        <f t="shared" si="625"/>
        <v>3.8208955223880597E-2</v>
      </c>
      <c r="P1053" s="586">
        <f t="shared" si="627"/>
        <v>9</v>
      </c>
      <c r="Q1053" s="452">
        <f t="shared" si="621"/>
        <v>82</v>
      </c>
      <c r="R1053" s="451">
        <f t="shared" si="622"/>
        <v>213.3780487804878</v>
      </c>
      <c r="S1053" s="452">
        <f t="shared" si="623"/>
        <v>17497</v>
      </c>
      <c r="T1053" s="446"/>
      <c r="U1053" s="456" t="s">
        <v>608</v>
      </c>
      <c r="V1053" s="456" t="s">
        <v>578</v>
      </c>
      <c r="W1053" s="456" t="s">
        <v>608</v>
      </c>
      <c r="X1053" s="456" t="s">
        <v>578</v>
      </c>
      <c r="AH1053" s="17"/>
      <c r="AI1053" s="17"/>
    </row>
    <row r="1054" spans="1:35" x14ac:dyDescent="0.25">
      <c r="A1054" s="21">
        <f>A$14</f>
        <v>1752</v>
      </c>
      <c r="B1054" s="149">
        <f t="shared" si="624"/>
        <v>7.4755606670500289E-3</v>
      </c>
      <c r="C1054" s="20">
        <f t="shared" si="626"/>
        <v>10</v>
      </c>
      <c r="D1054" s="21">
        <f>AN838</f>
        <v>38</v>
      </c>
      <c r="E1054" s="22">
        <f>IF(TREND($E$1045:$E$1053,$C$1045:$C$1053,C1054)&lt;365,TREND($E$1045:$E$1053,$C$1045:$C$1053,C1054),365)</f>
        <v>175.81952957270471</v>
      </c>
      <c r="F1054" s="21">
        <f t="shared" ref="F1054" si="628">D1054*E1054</f>
        <v>6681.1421237627792</v>
      </c>
      <c r="G1054" s="24">
        <f>'DDS Rates for Amend'!BK17</f>
        <v>631.67999999999995</v>
      </c>
      <c r="H1054" s="33">
        <f t="shared" ref="H1054" si="629">F1054*G1054</f>
        <v>4220343.8567384724</v>
      </c>
      <c r="I1054" s="688"/>
      <c r="J1054" s="205"/>
      <c r="N1054" s="453">
        <f t="shared" si="620"/>
        <v>1752</v>
      </c>
      <c r="O1054" s="584">
        <f t="shared" si="625"/>
        <v>7.4755606670500289E-3</v>
      </c>
      <c r="P1054" s="586">
        <f t="shared" si="627"/>
        <v>10</v>
      </c>
      <c r="Q1054" s="453">
        <f>ROUND(IF(TREND($Q$1045:$Q$1053,$N$1045:$N$1053,N1054)&gt;0, TREND($Q$1045:$Q$1053,$N$1045:$N$1053,N1054),0),0)</f>
        <v>69</v>
      </c>
      <c r="R1054" s="451">
        <f>IF(TREND($E$1045:$E$1053,$A$1045:$A$1053,N1054)&lt;365, TREND($E$1045:$E$1053,$A$1045:$A$1053,N1054),365)</f>
        <v>187.28757636478554</v>
      </c>
      <c r="S1054" s="453">
        <f t="shared" ref="S1054:S1059" si="630">Q1054*R1054</f>
        <v>12922.842769170202</v>
      </c>
      <c r="T1054" s="446">
        <v>10</v>
      </c>
      <c r="U1054" s="457">
        <f t="shared" ref="U1054:U1059" si="631">Q1054*$AB$838</f>
        <v>45.439024390243901</v>
      </c>
      <c r="V1054" s="457">
        <f t="shared" ref="V1054:V1059" si="632">Q1054*$AC$838</f>
        <v>23.560975609756099</v>
      </c>
      <c r="W1054" s="457">
        <f t="shared" ref="W1054:W1059" si="633">R1054*$AF$838</f>
        <v>116.09539082428211</v>
      </c>
      <c r="X1054" s="457">
        <f t="shared" ref="X1054:X1059" si="634">R1054*$AG$838</f>
        <v>71.192185540503431</v>
      </c>
      <c r="AH1054" s="17"/>
      <c r="AI1054" s="17"/>
    </row>
    <row r="1055" spans="1:35" x14ac:dyDescent="0.25">
      <c r="A1055" s="21">
        <f>A$15</f>
        <v>1822</v>
      </c>
      <c r="B1055" s="149">
        <f t="shared" si="624"/>
        <v>3.9954337899543377E-2</v>
      </c>
      <c r="C1055" s="20">
        <f t="shared" si="626"/>
        <v>11</v>
      </c>
      <c r="D1055" s="21">
        <f>AQ838</f>
        <v>40</v>
      </c>
      <c r="E1055" s="22">
        <f t="shared" ref="E1055:E1059" si="635">IF(TREND($E$1045:$E$1053,$C$1045:$C$1053,C1055)&lt;365,TREND($E$1045:$E$1053,$C$1045:$C$1053,C1055),365)</f>
        <v>169.30067469416002</v>
      </c>
      <c r="F1055" s="21">
        <f t="shared" ref="F1055:F1059" si="636">D1055*E1055</f>
        <v>6772.0269877664014</v>
      </c>
      <c r="G1055" s="24">
        <f>'DDS Rates for Amend'!BK18</f>
        <v>648.10367999999994</v>
      </c>
      <c r="H1055" s="33">
        <f t="shared" ref="H1055:H1059" si="637">F1055*G1055</f>
        <v>4388975.6118307197</v>
      </c>
      <c r="I1055" s="688"/>
      <c r="J1055" s="205"/>
      <c r="N1055" s="453">
        <f t="shared" si="620"/>
        <v>1822</v>
      </c>
      <c r="O1055" s="584">
        <f t="shared" si="625"/>
        <v>3.9954337899543377E-2</v>
      </c>
      <c r="P1055" s="586">
        <f t="shared" si="627"/>
        <v>11</v>
      </c>
      <c r="Q1055" s="453">
        <f t="shared" ref="Q1055:Q1059" si="638">ROUND(IF(TREND($Q$1045:$Q$1053,$N$1045:$N$1053,N1055)&gt;0, TREND($Q$1045:$Q$1053,$N$1045:$N$1053,N1055),0),0)</f>
        <v>59</v>
      </c>
      <c r="R1055" s="451">
        <f t="shared" ref="R1055:R1059" si="639">IF(TREND($E$1045:$E$1053,$A$1045:$A$1053,N1055)&lt;365, TREND($E$1045:$E$1053,$A$1045:$A$1053,N1055),365)</f>
        <v>181.07687949665444</v>
      </c>
      <c r="S1055" s="453">
        <f t="shared" si="630"/>
        <v>10683.535890302612</v>
      </c>
      <c r="T1055" s="446">
        <v>11</v>
      </c>
      <c r="U1055" s="457">
        <f t="shared" si="631"/>
        <v>38.853658536585371</v>
      </c>
      <c r="V1055" s="457">
        <f t="shared" si="632"/>
        <v>20.146341463414636</v>
      </c>
      <c r="W1055" s="457">
        <f t="shared" si="633"/>
        <v>112.24551837576236</v>
      </c>
      <c r="X1055" s="457">
        <f t="shared" si="634"/>
        <v>68.831361120892083</v>
      </c>
      <c r="AH1055" s="17"/>
      <c r="AI1055" s="17"/>
    </row>
    <row r="1056" spans="1:35" x14ac:dyDescent="0.25">
      <c r="A1056" s="21">
        <f>A$16</f>
        <v>1872</v>
      </c>
      <c r="B1056" s="149">
        <f t="shared" si="624"/>
        <v>2.7442371020856202E-2</v>
      </c>
      <c r="C1056" s="20">
        <f t="shared" si="626"/>
        <v>12</v>
      </c>
      <c r="D1056" s="21">
        <f>AT838</f>
        <v>40</v>
      </c>
      <c r="E1056" s="22">
        <f t="shared" si="635"/>
        <v>162.78181981561531</v>
      </c>
      <c r="F1056" s="21">
        <f t="shared" si="636"/>
        <v>6511.2727926246125</v>
      </c>
      <c r="G1056" s="24">
        <f>'DDS Rates for Amend'!BK19</f>
        <v>664.95437567999988</v>
      </c>
      <c r="H1056" s="33">
        <f t="shared" si="637"/>
        <v>4329699.3347018687</v>
      </c>
      <c r="I1056" s="688"/>
      <c r="J1056" s="205"/>
      <c r="N1056" s="453">
        <f t="shared" si="620"/>
        <v>1872</v>
      </c>
      <c r="O1056" s="584">
        <f t="shared" si="625"/>
        <v>2.7442371020856202E-2</v>
      </c>
      <c r="P1056" s="586">
        <f t="shared" si="627"/>
        <v>12</v>
      </c>
      <c r="Q1056" s="453">
        <f t="shared" si="638"/>
        <v>52</v>
      </c>
      <c r="R1056" s="451">
        <f t="shared" si="639"/>
        <v>176.64066744798939</v>
      </c>
      <c r="S1056" s="453">
        <f t="shared" si="630"/>
        <v>9185.3147072954489</v>
      </c>
      <c r="T1056" s="446">
        <v>12</v>
      </c>
      <c r="U1056" s="457">
        <f t="shared" si="631"/>
        <v>34.243902439024389</v>
      </c>
      <c r="V1056" s="457">
        <f t="shared" si="632"/>
        <v>17.756097560975611</v>
      </c>
      <c r="W1056" s="457">
        <f t="shared" si="633"/>
        <v>109.49560948396255</v>
      </c>
      <c r="X1056" s="457">
        <f t="shared" si="634"/>
        <v>67.145057964026833</v>
      </c>
      <c r="AH1056" s="17"/>
      <c r="AI1056" s="17"/>
    </row>
    <row r="1057" spans="1:35" x14ac:dyDescent="0.25">
      <c r="A1057" s="21">
        <f>A$17</f>
        <v>1902</v>
      </c>
      <c r="B1057" s="149">
        <f t="shared" si="624"/>
        <v>1.6025641025641024E-2</v>
      </c>
      <c r="C1057" s="20">
        <f t="shared" si="626"/>
        <v>13</v>
      </c>
      <c r="D1057" s="21">
        <f>AW838</f>
        <v>41</v>
      </c>
      <c r="E1057" s="22">
        <f t="shared" si="635"/>
        <v>156.26296493707059</v>
      </c>
      <c r="F1057" s="21">
        <f t="shared" si="636"/>
        <v>6406.7815624198938</v>
      </c>
      <c r="G1057" s="24">
        <f>'DDS Rates for Amend'!BK20</f>
        <v>682.24318944767992</v>
      </c>
      <c r="H1057" s="33">
        <f t="shared" si="637"/>
        <v>4370983.0872399388</v>
      </c>
      <c r="I1057" s="688"/>
      <c r="J1057" s="205"/>
      <c r="N1057" s="453">
        <f t="shared" si="620"/>
        <v>1902</v>
      </c>
      <c r="O1057" s="584">
        <f t="shared" si="625"/>
        <v>1.6025641025641024E-2</v>
      </c>
      <c r="P1057" s="586">
        <f t="shared" si="627"/>
        <v>13</v>
      </c>
      <c r="Q1057" s="453">
        <f t="shared" si="638"/>
        <v>48</v>
      </c>
      <c r="R1057" s="451">
        <f t="shared" si="639"/>
        <v>173.97894021879037</v>
      </c>
      <c r="S1057" s="453">
        <f t="shared" si="630"/>
        <v>8350.9891305019373</v>
      </c>
      <c r="T1057" s="446">
        <v>13</v>
      </c>
      <c r="U1057" s="457">
        <f t="shared" si="631"/>
        <v>31.609756097560975</v>
      </c>
      <c r="V1057" s="457">
        <f t="shared" si="632"/>
        <v>16.390243902439025</v>
      </c>
      <c r="W1057" s="457">
        <f t="shared" si="633"/>
        <v>107.84566414888269</v>
      </c>
      <c r="X1057" s="457">
        <f t="shared" si="634"/>
        <v>66.13327606990768</v>
      </c>
      <c r="AH1057" s="17"/>
      <c r="AI1057" s="17"/>
    </row>
    <row r="1058" spans="1:35" x14ac:dyDescent="0.25">
      <c r="A1058" s="21">
        <f>A$18</f>
        <v>1932</v>
      </c>
      <c r="B1058" s="149">
        <f t="shared" si="624"/>
        <v>1.5772870662460567E-2</v>
      </c>
      <c r="C1058" s="20">
        <f t="shared" si="626"/>
        <v>14</v>
      </c>
      <c r="D1058" s="21">
        <f>AZ838</f>
        <v>41</v>
      </c>
      <c r="E1058" s="22">
        <f t="shared" si="635"/>
        <v>149.74411005852591</v>
      </c>
      <c r="F1058" s="21">
        <f t="shared" si="636"/>
        <v>6139.5085123995623</v>
      </c>
      <c r="G1058" s="24">
        <f>'DDS Rates for Amend'!BK21</f>
        <v>699.98151237331956</v>
      </c>
      <c r="H1058" s="33">
        <f t="shared" si="637"/>
        <v>4297542.453738315</v>
      </c>
      <c r="I1058" s="688"/>
      <c r="J1058" s="205"/>
      <c r="N1058" s="453">
        <f t="shared" si="620"/>
        <v>1932</v>
      </c>
      <c r="O1058" s="584">
        <f t="shared" si="625"/>
        <v>1.5772870662460567E-2</v>
      </c>
      <c r="P1058" s="586">
        <f t="shared" si="627"/>
        <v>14</v>
      </c>
      <c r="Q1058" s="453">
        <f t="shared" si="638"/>
        <v>44</v>
      </c>
      <c r="R1058" s="451">
        <f t="shared" si="639"/>
        <v>171.31721298959133</v>
      </c>
      <c r="S1058" s="453">
        <f t="shared" si="630"/>
        <v>7537.9573715420183</v>
      </c>
      <c r="T1058" s="446">
        <v>14</v>
      </c>
      <c r="U1058" s="457">
        <f t="shared" si="631"/>
        <v>28.975609756097562</v>
      </c>
      <c r="V1058" s="457">
        <f t="shared" si="632"/>
        <v>15.02439024390244</v>
      </c>
      <c r="W1058" s="457">
        <f t="shared" si="633"/>
        <v>106.1957188138028</v>
      </c>
      <c r="X1058" s="457">
        <f t="shared" si="634"/>
        <v>65.121494175788527</v>
      </c>
      <c r="AH1058" s="17"/>
      <c r="AI1058" s="17"/>
    </row>
    <row r="1059" spans="1:35" x14ac:dyDescent="0.25">
      <c r="A1059" s="21">
        <f>A$19</f>
        <v>1962</v>
      </c>
      <c r="B1059" s="149">
        <f t="shared" si="624"/>
        <v>1.5527950310559006E-2</v>
      </c>
      <c r="C1059" s="20">
        <f t="shared" si="626"/>
        <v>15</v>
      </c>
      <c r="D1059" s="21">
        <f>BC838</f>
        <v>42</v>
      </c>
      <c r="E1059" s="22">
        <f t="shared" si="635"/>
        <v>143.22525517998122</v>
      </c>
      <c r="F1059" s="21">
        <f t="shared" si="636"/>
        <v>6015.4607175592109</v>
      </c>
      <c r="G1059" s="24">
        <f>'DDS Rates for Amend'!BK22</f>
        <v>718.18103169502592</v>
      </c>
      <c r="H1059" s="33">
        <f t="shared" si="637"/>
        <v>4320189.7842575749</v>
      </c>
      <c r="I1059" s="689"/>
      <c r="J1059" s="205"/>
      <c r="K1059" s="285">
        <f>SUM(H1045:H1059)</f>
        <v>119835744.47850691</v>
      </c>
      <c r="L1059" s="17">
        <f>IF(K1059='Appendix J-2'!CD69,0,error)</f>
        <v>0</v>
      </c>
      <c r="N1059" s="453">
        <f t="shared" si="620"/>
        <v>1962</v>
      </c>
      <c r="O1059" s="584">
        <f t="shared" si="625"/>
        <v>1.5527950310559006E-2</v>
      </c>
      <c r="P1059" s="586">
        <f t="shared" si="627"/>
        <v>15</v>
      </c>
      <c r="Q1059" s="453">
        <f t="shared" si="638"/>
        <v>40</v>
      </c>
      <c r="R1059" s="451">
        <f t="shared" si="639"/>
        <v>168.65548576039231</v>
      </c>
      <c r="S1059" s="453">
        <f t="shared" si="630"/>
        <v>6746.2194304156928</v>
      </c>
      <c r="T1059" s="446">
        <v>15</v>
      </c>
      <c r="U1059" s="457">
        <f t="shared" si="631"/>
        <v>26.341463414634148</v>
      </c>
      <c r="V1059" s="457">
        <f t="shared" si="632"/>
        <v>13.658536585365855</v>
      </c>
      <c r="W1059" s="457">
        <f t="shared" si="633"/>
        <v>104.54577347872292</v>
      </c>
      <c r="X1059" s="457">
        <f t="shared" si="634"/>
        <v>64.109712281669388</v>
      </c>
      <c r="AH1059" s="17"/>
      <c r="AI1059" s="17"/>
    </row>
    <row r="1060" spans="1:35" x14ac:dyDescent="0.25">
      <c r="C1060"/>
      <c r="I1060" s="568"/>
      <c r="J1060"/>
      <c r="N1060" s="446"/>
      <c r="O1060" s="446"/>
      <c r="P1060" s="446"/>
      <c r="Q1060" s="466"/>
      <c r="R1060" s="454"/>
      <c r="S1060" s="446"/>
      <c r="T1060" s="446"/>
      <c r="U1060" s="446"/>
      <c r="V1060" s="446"/>
      <c r="W1060" s="446"/>
      <c r="X1060" s="446"/>
      <c r="AH1060" s="17"/>
      <c r="AI1060" s="17"/>
    </row>
    <row r="1061" spans="1:35" x14ac:dyDescent="0.25">
      <c r="A1061" s="271" t="s">
        <v>120</v>
      </c>
      <c r="B1061" s="272"/>
      <c r="C1061" s="272"/>
      <c r="D1061" s="593" t="str">
        <f>'Appendix J-2'!B55</f>
        <v>Assistance</v>
      </c>
      <c r="E1061" s="223" t="str">
        <f>'Appendix J-2'!C55</f>
        <v>15 minutes</v>
      </c>
      <c r="F1061" s="690"/>
      <c r="G1061" s="690"/>
      <c r="H1061" s="690"/>
      <c r="I1061" s="687" t="s">
        <v>1109</v>
      </c>
      <c r="J1061" s="205"/>
      <c r="N1061" s="577" t="s">
        <v>576</v>
      </c>
      <c r="O1061" s="578"/>
      <c r="P1061" s="578"/>
      <c r="Q1061" s="588"/>
      <c r="R1061" s="447"/>
      <c r="S1061" s="448"/>
      <c r="T1061" s="446"/>
      <c r="U1061" s="446"/>
      <c r="V1061" s="446"/>
      <c r="W1061" s="446"/>
      <c r="X1061" s="446"/>
      <c r="AH1061" s="17"/>
      <c r="AI1061" s="17"/>
    </row>
    <row r="1062" spans="1:35" ht="30" x14ac:dyDescent="0.25">
      <c r="A1062" s="147" t="s">
        <v>26</v>
      </c>
      <c r="B1062" s="147" t="s">
        <v>27</v>
      </c>
      <c r="C1062" s="50" t="s">
        <v>166</v>
      </c>
      <c r="D1062" s="91" t="s">
        <v>154</v>
      </c>
      <c r="E1062" s="89" t="s">
        <v>155</v>
      </c>
      <c r="F1062" s="34" t="s">
        <v>158</v>
      </c>
      <c r="G1062" s="35" t="s">
        <v>156</v>
      </c>
      <c r="H1062" s="51" t="s">
        <v>157</v>
      </c>
      <c r="I1062" s="688"/>
      <c r="J1062" s="205"/>
      <c r="N1062" s="580" t="s">
        <v>26</v>
      </c>
      <c r="O1062" s="580" t="s">
        <v>27</v>
      </c>
      <c r="P1062" s="471" t="s">
        <v>166</v>
      </c>
      <c r="Q1062" s="581" t="s">
        <v>154</v>
      </c>
      <c r="R1062" s="449" t="s">
        <v>155</v>
      </c>
      <c r="S1062" s="450" t="s">
        <v>158</v>
      </c>
      <c r="T1062" s="446"/>
      <c r="U1062" s="446"/>
      <c r="V1062" s="446"/>
      <c r="W1062" s="446"/>
      <c r="X1062" s="446"/>
      <c r="AH1062" s="17"/>
      <c r="AI1062" s="17"/>
    </row>
    <row r="1063" spans="1:35" ht="15" customHeight="1" x14ac:dyDescent="0.25">
      <c r="A1063" s="21">
        <f>A$5</f>
        <v>1182</v>
      </c>
      <c r="B1063" s="148"/>
      <c r="C1063" s="144">
        <v>1</v>
      </c>
      <c r="D1063" s="247">
        <f>'Appendix J-2'!D55</f>
        <v>80</v>
      </c>
      <c r="E1063" s="22">
        <f>IF(F1063=0,0,F1063/D1063)</f>
        <v>4427.2875000000004</v>
      </c>
      <c r="F1063" s="247">
        <f>'Appendix J-2'!F55</f>
        <v>354183</v>
      </c>
      <c r="G1063" s="24">
        <f>H1063/F1063</f>
        <v>5.5187205484170612</v>
      </c>
      <c r="H1063" s="250">
        <f>'Appendix J-2'!H55</f>
        <v>1954637</v>
      </c>
      <c r="I1063" s="688"/>
      <c r="J1063" s="205"/>
      <c r="N1063" s="453">
        <f>A1063</f>
        <v>1182</v>
      </c>
      <c r="O1063" s="582"/>
      <c r="P1063" s="583">
        <v>1</v>
      </c>
      <c r="Q1063" s="452">
        <f>D1063+D1549</f>
        <v>80</v>
      </c>
      <c r="R1063" s="451">
        <f>IF(S1063=0,0,S1063/Q1063)</f>
        <v>4427.2875000000004</v>
      </c>
      <c r="S1063" s="452">
        <f>F1063+F1549</f>
        <v>354183</v>
      </c>
      <c r="T1063" s="446"/>
      <c r="U1063" s="446"/>
      <c r="V1063" s="446"/>
      <c r="W1063" s="446"/>
      <c r="X1063" s="446"/>
      <c r="AH1063" s="17"/>
      <c r="AI1063" s="17"/>
    </row>
    <row r="1064" spans="1:35" x14ac:dyDescent="0.25">
      <c r="A1064" s="21">
        <f>A$6</f>
        <v>1288</v>
      </c>
      <c r="B1064" s="149">
        <f>(A1064-A1063)/A1063</f>
        <v>8.9678510998307953E-2</v>
      </c>
      <c r="C1064" s="52">
        <v>2</v>
      </c>
      <c r="D1064" s="247">
        <f>'Appendix J-2'!I55</f>
        <v>99</v>
      </c>
      <c r="E1064" s="22">
        <f t="shared" ref="E1064:E1071" si="640">IF(F1064=0,0,F1064/D1064)</f>
        <v>5112.6565656565654</v>
      </c>
      <c r="F1064" s="247">
        <f>'Appendix J-2'!K55</f>
        <v>506153</v>
      </c>
      <c r="G1064" s="24">
        <f t="shared" ref="G1064:G1071" si="641">H1064/F1064</f>
        <v>5.5170659859765721</v>
      </c>
      <c r="H1064" s="250">
        <f>'Appendix J-2'!M55</f>
        <v>2792479.5</v>
      </c>
      <c r="I1064" s="688"/>
      <c r="J1064" s="205"/>
      <c r="N1064" s="453">
        <f t="shared" ref="N1064:N1077" si="642">A1064</f>
        <v>1288</v>
      </c>
      <c r="O1064" s="584">
        <f>(N1064-N1063)/N1063</f>
        <v>8.9678510998307953E-2</v>
      </c>
      <c r="P1064" s="585">
        <v>2</v>
      </c>
      <c r="Q1064" s="452">
        <f t="shared" ref="Q1064:Q1071" si="643">D1064+D1550</f>
        <v>99</v>
      </c>
      <c r="R1064" s="451">
        <f t="shared" ref="R1064:R1071" si="644">IF(S1064=0,0,S1064/Q1064)</f>
        <v>5112.6565656565654</v>
      </c>
      <c r="S1064" s="452">
        <f t="shared" ref="S1064:S1071" si="645">F1064+F1550</f>
        <v>506153</v>
      </c>
      <c r="T1064" s="446"/>
      <c r="U1064" s="446"/>
      <c r="V1064" s="446"/>
      <c r="W1064" s="446"/>
      <c r="X1064" s="446"/>
      <c r="AH1064" s="17"/>
      <c r="AI1064" s="17"/>
    </row>
    <row r="1065" spans="1:35" x14ac:dyDescent="0.25">
      <c r="A1065" s="21">
        <f>A$7</f>
        <v>1495</v>
      </c>
      <c r="B1065" s="149">
        <f t="shared" ref="B1065:B1077" si="646">(A1065-A1064)/A1064</f>
        <v>0.16071428571428573</v>
      </c>
      <c r="C1065" s="52">
        <v>3</v>
      </c>
      <c r="D1065" s="247">
        <f>'Appendix J-2'!N55</f>
        <v>129</v>
      </c>
      <c r="E1065" s="22">
        <f t="shared" si="640"/>
        <v>5904.7054263565888</v>
      </c>
      <c r="F1065" s="247">
        <f>'Appendix J-2'!P55</f>
        <v>761707</v>
      </c>
      <c r="G1065" s="24">
        <f t="shared" si="641"/>
        <v>5.4834398265999917</v>
      </c>
      <c r="H1065" s="248">
        <f>'Appendix J-2'!R55</f>
        <v>4176774.5</v>
      </c>
      <c r="I1065" s="688"/>
      <c r="J1065" s="205"/>
      <c r="N1065" s="453">
        <f t="shared" si="642"/>
        <v>1495</v>
      </c>
      <c r="O1065" s="584">
        <f t="shared" ref="O1065:O1077" si="647">(N1065-N1064)/N1064</f>
        <v>0.16071428571428573</v>
      </c>
      <c r="P1065" s="585">
        <v>3</v>
      </c>
      <c r="Q1065" s="452">
        <f t="shared" si="643"/>
        <v>129</v>
      </c>
      <c r="R1065" s="451">
        <f t="shared" si="644"/>
        <v>5904.7054263565888</v>
      </c>
      <c r="S1065" s="452">
        <f t="shared" si="645"/>
        <v>761707</v>
      </c>
      <c r="T1065" s="446"/>
      <c r="U1065" s="446"/>
      <c r="V1065" s="446"/>
      <c r="W1065" s="446"/>
      <c r="X1065" s="446"/>
      <c r="AH1065" s="17"/>
      <c r="AI1065" s="17"/>
    </row>
    <row r="1066" spans="1:35" x14ac:dyDescent="0.25">
      <c r="A1066" s="21">
        <f>A$8</f>
        <v>1484</v>
      </c>
      <c r="B1066" s="149">
        <f t="shared" si="646"/>
        <v>-7.3578595317725752E-3</v>
      </c>
      <c r="C1066" s="52">
        <f t="shared" ref="C1066:C1077" si="648">C1065+1</f>
        <v>4</v>
      </c>
      <c r="D1066" s="247">
        <f>'Appendix J-2'!S55</f>
        <v>193</v>
      </c>
      <c r="E1066" s="22">
        <f t="shared" si="640"/>
        <v>8002.5699481865286</v>
      </c>
      <c r="F1066" s="247">
        <f>'Appendix J-2'!U55</f>
        <v>1544496</v>
      </c>
      <c r="G1066" s="24">
        <f t="shared" si="641"/>
        <v>5.4798369824201556</v>
      </c>
      <c r="H1066" s="248">
        <f>'Appendix J-2'!W55</f>
        <v>8463586.3000000007</v>
      </c>
      <c r="I1066" s="688"/>
      <c r="J1066" s="205"/>
      <c r="N1066" s="453">
        <f t="shared" si="642"/>
        <v>1484</v>
      </c>
      <c r="O1066" s="584">
        <f t="shared" si="647"/>
        <v>-7.3578595317725752E-3</v>
      </c>
      <c r="P1066" s="585">
        <f t="shared" ref="P1066:P1077" si="649">P1065+1</f>
        <v>4</v>
      </c>
      <c r="Q1066" s="452">
        <f t="shared" si="643"/>
        <v>193</v>
      </c>
      <c r="R1066" s="451">
        <f t="shared" si="644"/>
        <v>8002.5699481865286</v>
      </c>
      <c r="S1066" s="452">
        <f t="shared" si="645"/>
        <v>1544496</v>
      </c>
      <c r="T1066" s="446"/>
      <c r="U1066" s="446"/>
      <c r="V1066" s="446"/>
      <c r="W1066" s="446"/>
      <c r="X1066" s="446"/>
      <c r="AH1066" s="17"/>
      <c r="AI1066" s="17"/>
    </row>
    <row r="1067" spans="1:35" x14ac:dyDescent="0.25">
      <c r="A1067" s="21">
        <f>A$9</f>
        <v>1528</v>
      </c>
      <c r="B1067" s="149">
        <f t="shared" si="646"/>
        <v>2.9649595687331536E-2</v>
      </c>
      <c r="C1067" s="52">
        <f t="shared" si="648"/>
        <v>5</v>
      </c>
      <c r="D1067" s="247">
        <f>'Appendix J-2'!X55</f>
        <v>185</v>
      </c>
      <c r="E1067" s="22">
        <f t="shared" si="640"/>
        <v>10978.956054054055</v>
      </c>
      <c r="F1067" s="247">
        <f>'Appendix J-2'!Z55</f>
        <v>2031106.87</v>
      </c>
      <c r="G1067" s="24">
        <f t="shared" si="641"/>
        <v>5.492346121600189</v>
      </c>
      <c r="H1067" s="248">
        <f>'Appendix J-2'!AB55</f>
        <v>11155541.939999999</v>
      </c>
      <c r="I1067" s="688"/>
      <c r="J1067" s="205"/>
      <c r="N1067" s="453">
        <f t="shared" si="642"/>
        <v>1528</v>
      </c>
      <c r="O1067" s="584">
        <f t="shared" si="647"/>
        <v>2.9649595687331536E-2</v>
      </c>
      <c r="P1067" s="585">
        <f t="shared" si="649"/>
        <v>5</v>
      </c>
      <c r="Q1067" s="452">
        <f t="shared" si="643"/>
        <v>185</v>
      </c>
      <c r="R1067" s="451">
        <f t="shared" si="644"/>
        <v>10978.956054054055</v>
      </c>
      <c r="S1067" s="452">
        <f t="shared" si="645"/>
        <v>2031106.87</v>
      </c>
      <c r="T1067" s="446"/>
      <c r="U1067" s="446"/>
      <c r="V1067" s="446"/>
      <c r="W1067" s="446"/>
      <c r="X1067" s="446"/>
      <c r="AH1067" s="17"/>
      <c r="AI1067" s="17"/>
    </row>
    <row r="1068" spans="1:35" x14ac:dyDescent="0.25">
      <c r="A1068" s="21">
        <f>A$10</f>
        <v>1592</v>
      </c>
      <c r="B1068" s="149">
        <f t="shared" si="646"/>
        <v>4.1884816753926704E-2</v>
      </c>
      <c r="C1068" s="20">
        <f t="shared" si="648"/>
        <v>6</v>
      </c>
      <c r="D1068" s="249">
        <f>'Appendix J-2'!AC55</f>
        <v>309</v>
      </c>
      <c r="E1068" s="22">
        <f t="shared" si="640"/>
        <v>5657.1650485436894</v>
      </c>
      <c r="F1068" s="249">
        <f>'Appendix J-2'!AE55</f>
        <v>1748064</v>
      </c>
      <c r="G1068" s="24">
        <f t="shared" si="641"/>
        <v>5.4572324754700059</v>
      </c>
      <c r="H1068" s="248">
        <f>'Appendix J-2'!AG55</f>
        <v>9539591.6300000008</v>
      </c>
      <c r="I1068" s="688"/>
      <c r="J1068" s="205"/>
      <c r="N1068" s="453">
        <f t="shared" si="642"/>
        <v>1592</v>
      </c>
      <c r="O1068" s="584">
        <f t="shared" si="647"/>
        <v>4.1884816753926704E-2</v>
      </c>
      <c r="P1068" s="586">
        <f t="shared" si="649"/>
        <v>6</v>
      </c>
      <c r="Q1068" s="452">
        <f t="shared" si="643"/>
        <v>309</v>
      </c>
      <c r="R1068" s="451">
        <f t="shared" si="644"/>
        <v>5657.1650485436894</v>
      </c>
      <c r="S1068" s="452">
        <f t="shared" si="645"/>
        <v>1748064</v>
      </c>
      <c r="T1068" s="446"/>
      <c r="U1068" s="446"/>
      <c r="V1068" s="446"/>
      <c r="W1068" s="446"/>
      <c r="X1068" s="446"/>
      <c r="AH1068" s="17"/>
      <c r="AI1068" s="17"/>
    </row>
    <row r="1069" spans="1:35" x14ac:dyDescent="0.25">
      <c r="A1069" s="21">
        <f>A$11</f>
        <v>1642</v>
      </c>
      <c r="B1069" s="149">
        <f t="shared" si="646"/>
        <v>3.1407035175879394E-2</v>
      </c>
      <c r="C1069" s="20">
        <f t="shared" si="648"/>
        <v>7</v>
      </c>
      <c r="D1069" s="249">
        <f>'Appendix J-2'!AH55</f>
        <v>302</v>
      </c>
      <c r="E1069" s="22">
        <f t="shared" si="640"/>
        <v>5155.0264900662251</v>
      </c>
      <c r="F1069" s="249">
        <f>'Appendix J-2'!AJ55</f>
        <v>1556818</v>
      </c>
      <c r="G1069" s="24">
        <f t="shared" si="641"/>
        <v>5.4997457698973164</v>
      </c>
      <c r="H1069" s="248">
        <f>'Appendix J-2'!AL55</f>
        <v>8562103.2100000009</v>
      </c>
      <c r="I1069" s="688"/>
      <c r="J1069" s="205"/>
      <c r="N1069" s="453">
        <f t="shared" si="642"/>
        <v>1642</v>
      </c>
      <c r="O1069" s="584">
        <f t="shared" si="647"/>
        <v>3.1407035175879394E-2</v>
      </c>
      <c r="P1069" s="586">
        <f t="shared" si="649"/>
        <v>7</v>
      </c>
      <c r="Q1069" s="452">
        <f t="shared" si="643"/>
        <v>327</v>
      </c>
      <c r="R1069" s="451">
        <f t="shared" si="644"/>
        <v>5018.2996941896026</v>
      </c>
      <c r="S1069" s="452">
        <f t="shared" si="645"/>
        <v>1640984</v>
      </c>
      <c r="T1069" s="682" t="s">
        <v>610</v>
      </c>
      <c r="U1069" s="683"/>
      <c r="V1069" s="683"/>
      <c r="W1069" s="683"/>
      <c r="X1069" s="683"/>
      <c r="AH1069" s="17"/>
      <c r="AI1069" s="17"/>
    </row>
    <row r="1070" spans="1:35" x14ac:dyDescent="0.25">
      <c r="A1070" s="21">
        <f>A$12</f>
        <v>1675</v>
      </c>
      <c r="B1070" s="149">
        <f t="shared" si="646"/>
        <v>2.0097442143727162E-2</v>
      </c>
      <c r="C1070" s="20">
        <f t="shared" si="648"/>
        <v>8</v>
      </c>
      <c r="D1070" s="249">
        <f>'Appendix J-2'!AM55</f>
        <v>138</v>
      </c>
      <c r="E1070" s="22">
        <f t="shared" si="640"/>
        <v>9727.9057971014499</v>
      </c>
      <c r="F1070" s="249">
        <f>'Appendix J-2'!AO55</f>
        <v>1342451</v>
      </c>
      <c r="G1070" s="24">
        <f t="shared" si="641"/>
        <v>5.9150416439780669</v>
      </c>
      <c r="H1070" s="248">
        <f>'Appendix J-2'!AQ55</f>
        <v>7940653.5700000003</v>
      </c>
      <c r="I1070" s="688"/>
      <c r="J1070" s="205"/>
      <c r="N1070" s="453">
        <f t="shared" si="642"/>
        <v>1675</v>
      </c>
      <c r="O1070" s="584">
        <f t="shared" si="647"/>
        <v>2.0097442143727162E-2</v>
      </c>
      <c r="P1070" s="586">
        <f t="shared" si="649"/>
        <v>8</v>
      </c>
      <c r="Q1070" s="452">
        <f t="shared" si="643"/>
        <v>173</v>
      </c>
      <c r="R1070" s="451">
        <f t="shared" si="644"/>
        <v>9665.4335260115604</v>
      </c>
      <c r="S1070" s="452">
        <f t="shared" si="645"/>
        <v>1672120</v>
      </c>
      <c r="T1070" s="446"/>
      <c r="U1070" s="684" t="s">
        <v>154</v>
      </c>
      <c r="V1070" s="684"/>
      <c r="W1070" s="684" t="s">
        <v>609</v>
      </c>
      <c r="X1070" s="684"/>
      <c r="AH1070" s="17"/>
      <c r="AI1070" s="17"/>
    </row>
    <row r="1071" spans="1:35" x14ac:dyDescent="0.25">
      <c r="A1071" s="21">
        <f>A$13</f>
        <v>1739</v>
      </c>
      <c r="B1071" s="149">
        <f t="shared" si="646"/>
        <v>3.8208955223880597E-2</v>
      </c>
      <c r="C1071" s="20">
        <f t="shared" si="648"/>
        <v>9</v>
      </c>
      <c r="D1071" s="249">
        <f>'Appendix J-2'!AR55</f>
        <v>133</v>
      </c>
      <c r="E1071" s="22">
        <f t="shared" si="640"/>
        <v>9115.2406015037595</v>
      </c>
      <c r="F1071" s="249">
        <f>'Appendix J-2'!AT55</f>
        <v>1212327</v>
      </c>
      <c r="G1071" s="24">
        <f t="shared" si="641"/>
        <v>5.9613591712467011</v>
      </c>
      <c r="H1071" s="248">
        <f>'Appendix J-2'!AV55</f>
        <v>7227116.6799999997</v>
      </c>
      <c r="I1071" s="688"/>
      <c r="J1071" s="205"/>
      <c r="N1071" s="453">
        <f t="shared" si="642"/>
        <v>1739</v>
      </c>
      <c r="O1071" s="584">
        <f t="shared" si="647"/>
        <v>3.8208955223880597E-2</v>
      </c>
      <c r="P1071" s="586">
        <f t="shared" si="649"/>
        <v>9</v>
      </c>
      <c r="Q1071" s="452">
        <f t="shared" si="643"/>
        <v>180</v>
      </c>
      <c r="R1071" s="451">
        <f t="shared" si="644"/>
        <v>9184.4111111111106</v>
      </c>
      <c r="S1071" s="452">
        <f t="shared" si="645"/>
        <v>1653194</v>
      </c>
      <c r="T1071" s="446"/>
      <c r="U1071" s="456" t="s">
        <v>608</v>
      </c>
      <c r="V1071" s="456" t="s">
        <v>578</v>
      </c>
      <c r="W1071" s="456" t="s">
        <v>608</v>
      </c>
      <c r="X1071" s="456" t="s">
        <v>578</v>
      </c>
      <c r="AH1071" s="17"/>
      <c r="AI1071" s="17"/>
    </row>
    <row r="1072" spans="1:35" x14ac:dyDescent="0.25">
      <c r="A1072" s="21">
        <f>A$14</f>
        <v>1752</v>
      </c>
      <c r="B1072" s="149">
        <f t="shared" si="646"/>
        <v>7.4755606670500289E-3</v>
      </c>
      <c r="C1072" s="20">
        <f t="shared" si="648"/>
        <v>10</v>
      </c>
      <c r="D1072" s="21">
        <f>AN841</f>
        <v>93</v>
      </c>
      <c r="E1072" s="22">
        <f>IF(TREND($E$1063:$E$1071,$C$1063:$C$1071,C1072)&lt;23360,TREND($E$1063:$E$1071,$C$1063:$C$1071,C1072),23360)</f>
        <v>9516.2346030626068</v>
      </c>
      <c r="F1072" s="21">
        <f t="shared" ref="F1072" si="650">D1072*E1072</f>
        <v>885009.81808482239</v>
      </c>
      <c r="G1072" s="24">
        <f>'DDS Rates for Amend'!AW17</f>
        <v>6.03</v>
      </c>
      <c r="H1072" s="33">
        <f>F1072*G1072</f>
        <v>5336609.2030514795</v>
      </c>
      <c r="I1072" s="688"/>
      <c r="J1072" s="205"/>
      <c r="N1072" s="453">
        <f t="shared" si="642"/>
        <v>1752</v>
      </c>
      <c r="O1072" s="584">
        <f t="shared" si="647"/>
        <v>7.4755606670500289E-3</v>
      </c>
      <c r="P1072" s="586">
        <f t="shared" si="649"/>
        <v>10</v>
      </c>
      <c r="Q1072" s="453">
        <f>ROUND((TREND($Q$1070:$Q$1071,$N$1070:$N$1071,N1072)),0)</f>
        <v>181</v>
      </c>
      <c r="R1072" s="451">
        <f>IF(TREND($R$1063:$R$1071,$N$1063:$N$1071,N1072)&lt;23360,TREND($R$1063:$R$1071,$N$1063:$N$1071,N1072),23360)</f>
        <v>8824.3983788916139</v>
      </c>
      <c r="S1072" s="453">
        <f t="shared" ref="S1072:S1077" si="651">Q1072*R1072</f>
        <v>1597216.1065793822</v>
      </c>
      <c r="T1072" s="446">
        <v>10</v>
      </c>
      <c r="U1072" s="457">
        <f t="shared" ref="U1072:U1077" si="652">Q1072*$AB$841</f>
        <v>133.73888888888891</v>
      </c>
      <c r="V1072" s="457">
        <f t="shared" ref="V1072:V1077" si="653">Q1072*$AC$841</f>
        <v>47.261111111111113</v>
      </c>
      <c r="W1072" s="457">
        <f t="shared" ref="W1072:W1077" si="654">R1072*$AF$841</f>
        <v>6471.1439876303284</v>
      </c>
      <c r="X1072" s="457">
        <f t="shared" ref="X1072:X1077" si="655">R1072*$AG$841</f>
        <v>2353.2543912612855</v>
      </c>
      <c r="AH1072" s="17"/>
      <c r="AI1072" s="17"/>
    </row>
    <row r="1073" spans="1:35" x14ac:dyDescent="0.25">
      <c r="A1073" s="21">
        <f>A$15</f>
        <v>1822</v>
      </c>
      <c r="B1073" s="149">
        <f t="shared" si="646"/>
        <v>3.9954337899543377E-2</v>
      </c>
      <c r="C1073" s="20">
        <f t="shared" si="648"/>
        <v>11</v>
      </c>
      <c r="D1073" s="21">
        <f>AQ841</f>
        <v>97</v>
      </c>
      <c r="E1073" s="22">
        <f t="shared" ref="E1073:E1077" si="656">IF(TREND($E$1063:$E$1071,$C$1063:$C$1071,C1073)&lt;23360,TREND($E$1063:$E$1071,$C$1063:$C$1071,C1073),23360)</f>
        <v>9995.4478918647073</v>
      </c>
      <c r="F1073" s="21">
        <f t="shared" ref="F1073:F1077" si="657">D1073*E1073</f>
        <v>969558.4455108766</v>
      </c>
      <c r="G1073" s="24">
        <f>'DDS Rates for Amend'!AW18</f>
        <v>6.1867800000000006</v>
      </c>
      <c r="H1073" s="33">
        <f t="shared" ref="H1073:H1077" si="658">F1073*G1073</f>
        <v>5998444.7995177815</v>
      </c>
      <c r="I1073" s="688"/>
      <c r="J1073" s="205"/>
      <c r="N1073" s="453">
        <f t="shared" si="642"/>
        <v>1822</v>
      </c>
      <c r="O1073" s="584">
        <f t="shared" si="647"/>
        <v>3.9954337899543377E-2</v>
      </c>
      <c r="P1073" s="586">
        <f t="shared" si="649"/>
        <v>11</v>
      </c>
      <c r="Q1073" s="453">
        <f t="shared" ref="Q1073:Q1077" si="659">ROUND((TREND($Q$1070:$Q$1071,$N$1070:$N$1071,N1073)),0)</f>
        <v>189</v>
      </c>
      <c r="R1073" s="451">
        <f t="shared" ref="R1073:R1077" si="660">IF(TREND($R$1063:$R$1071,$N$1063:$N$1071,N1073)&lt;23360,TREND($R$1063:$R$1071,$N$1063:$N$1071,N1073),23360)</f>
        <v>9329.6559792248099</v>
      </c>
      <c r="S1073" s="453">
        <f t="shared" si="651"/>
        <v>1763304.980073489</v>
      </c>
      <c r="T1073" s="446">
        <v>11</v>
      </c>
      <c r="U1073" s="457">
        <f t="shared" si="652"/>
        <v>139.65</v>
      </c>
      <c r="V1073" s="457">
        <f t="shared" si="653"/>
        <v>49.35</v>
      </c>
      <c r="W1073" s="457">
        <f t="shared" si="654"/>
        <v>6841.6615619979721</v>
      </c>
      <c r="X1073" s="457">
        <f t="shared" si="655"/>
        <v>2487.9944172268374</v>
      </c>
      <c r="AH1073" s="17"/>
      <c r="AI1073" s="17"/>
    </row>
    <row r="1074" spans="1:35" x14ac:dyDescent="0.25">
      <c r="A1074" s="21">
        <f>A$16</f>
        <v>1872</v>
      </c>
      <c r="B1074" s="149">
        <f t="shared" si="646"/>
        <v>2.7442371020856202E-2</v>
      </c>
      <c r="C1074" s="20">
        <f t="shared" si="648"/>
        <v>12</v>
      </c>
      <c r="D1074" s="21">
        <f>AT841</f>
        <v>100</v>
      </c>
      <c r="E1074" s="22">
        <f t="shared" si="656"/>
        <v>10474.661180666812</v>
      </c>
      <c r="F1074" s="21">
        <f t="shared" si="657"/>
        <v>1047466.1180666812</v>
      </c>
      <c r="G1074" s="24">
        <f>'DDS Rates for Amend'!AW19</f>
        <v>6.3476362800000006</v>
      </c>
      <c r="H1074" s="33">
        <f t="shared" si="658"/>
        <v>6648933.9331108294</v>
      </c>
      <c r="I1074" s="688"/>
      <c r="J1074" s="205"/>
      <c r="N1074" s="453">
        <f t="shared" si="642"/>
        <v>1872</v>
      </c>
      <c r="O1074" s="584">
        <f t="shared" si="647"/>
        <v>2.7442371020856202E-2</v>
      </c>
      <c r="P1074" s="586">
        <f t="shared" si="649"/>
        <v>12</v>
      </c>
      <c r="Q1074" s="453">
        <f t="shared" si="659"/>
        <v>195</v>
      </c>
      <c r="R1074" s="451">
        <f t="shared" si="660"/>
        <v>9690.554265177092</v>
      </c>
      <c r="S1074" s="453">
        <f t="shared" si="651"/>
        <v>1889658.081709533</v>
      </c>
      <c r="T1074" s="446">
        <v>12</v>
      </c>
      <c r="U1074" s="457">
        <f t="shared" si="652"/>
        <v>144.08333333333334</v>
      </c>
      <c r="V1074" s="457">
        <f t="shared" si="653"/>
        <v>50.916666666666671</v>
      </c>
      <c r="W1074" s="457">
        <f t="shared" si="654"/>
        <v>7106.3169722605744</v>
      </c>
      <c r="X1074" s="457">
        <f t="shared" si="655"/>
        <v>2584.2372929165176</v>
      </c>
      <c r="AH1074" s="17"/>
      <c r="AI1074" s="17"/>
    </row>
    <row r="1075" spans="1:35" x14ac:dyDescent="0.25">
      <c r="A1075" s="21">
        <f>A$17</f>
        <v>1902</v>
      </c>
      <c r="B1075" s="149">
        <f t="shared" si="646"/>
        <v>1.6025641025641024E-2</v>
      </c>
      <c r="C1075" s="20">
        <f t="shared" si="648"/>
        <v>13</v>
      </c>
      <c r="D1075" s="21">
        <f>AW841</f>
        <v>101</v>
      </c>
      <c r="E1075" s="22">
        <f t="shared" si="656"/>
        <v>10953.874469468912</v>
      </c>
      <c r="F1075" s="21">
        <f t="shared" si="657"/>
        <v>1106341.3214163601</v>
      </c>
      <c r="G1075" s="24">
        <f>'DDS Rates for Amend'!AW20</f>
        <v>6.5126748232800002</v>
      </c>
      <c r="H1075" s="33">
        <f t="shared" si="658"/>
        <v>7205241.2699426552</v>
      </c>
      <c r="I1075" s="688"/>
      <c r="J1075" s="205"/>
      <c r="N1075" s="453">
        <f t="shared" si="642"/>
        <v>1902</v>
      </c>
      <c r="O1075" s="584">
        <f t="shared" si="647"/>
        <v>1.6025641025641024E-2</v>
      </c>
      <c r="P1075" s="586">
        <f t="shared" si="649"/>
        <v>13</v>
      </c>
      <c r="Q1075" s="453">
        <f t="shared" si="659"/>
        <v>198</v>
      </c>
      <c r="R1075" s="451">
        <f t="shared" si="660"/>
        <v>9907.093236748462</v>
      </c>
      <c r="S1075" s="453">
        <f t="shared" si="651"/>
        <v>1961604.4608761955</v>
      </c>
      <c r="T1075" s="446">
        <v>13</v>
      </c>
      <c r="U1075" s="457">
        <f t="shared" si="652"/>
        <v>146.30000000000001</v>
      </c>
      <c r="V1075" s="457">
        <f t="shared" si="653"/>
        <v>51.7</v>
      </c>
      <c r="W1075" s="457">
        <f t="shared" si="654"/>
        <v>7265.1102184181364</v>
      </c>
      <c r="X1075" s="457">
        <f t="shared" si="655"/>
        <v>2641.9830183303256</v>
      </c>
      <c r="AH1075" s="17"/>
      <c r="AI1075" s="17"/>
    </row>
    <row r="1076" spans="1:35" x14ac:dyDescent="0.25">
      <c r="A1076" s="21">
        <f>A$18</f>
        <v>1932</v>
      </c>
      <c r="B1076" s="149">
        <f t="shared" si="646"/>
        <v>1.5772870662460567E-2</v>
      </c>
      <c r="C1076" s="20">
        <f t="shared" si="648"/>
        <v>14</v>
      </c>
      <c r="D1076" s="21">
        <f>AZ841</f>
        <v>103</v>
      </c>
      <c r="E1076" s="22">
        <f t="shared" si="656"/>
        <v>11433.087758271015</v>
      </c>
      <c r="F1076" s="21">
        <f t="shared" si="657"/>
        <v>1177608.0391019145</v>
      </c>
      <c r="G1076" s="24">
        <f>'DDS Rates for Amend'!AW21</f>
        <v>6.6820043686852806</v>
      </c>
      <c r="H1076" s="33">
        <f t="shared" si="658"/>
        <v>7868782.0618778998</v>
      </c>
      <c r="I1076" s="688"/>
      <c r="J1076" s="205"/>
      <c r="N1076" s="453">
        <f t="shared" si="642"/>
        <v>1932</v>
      </c>
      <c r="O1076" s="584">
        <f t="shared" si="647"/>
        <v>1.5772870662460567E-2</v>
      </c>
      <c r="P1076" s="586">
        <f t="shared" si="649"/>
        <v>14</v>
      </c>
      <c r="Q1076" s="453">
        <f t="shared" si="659"/>
        <v>201</v>
      </c>
      <c r="R1076" s="451">
        <f t="shared" si="660"/>
        <v>10123.632208319832</v>
      </c>
      <c r="S1076" s="453">
        <f t="shared" si="651"/>
        <v>2034850.0738722861</v>
      </c>
      <c r="T1076" s="446">
        <v>14</v>
      </c>
      <c r="U1076" s="457">
        <f t="shared" si="652"/>
        <v>148.51666666666668</v>
      </c>
      <c r="V1076" s="457">
        <f t="shared" si="653"/>
        <v>52.483333333333334</v>
      </c>
      <c r="W1076" s="457">
        <f t="shared" si="654"/>
        <v>7423.9034645756983</v>
      </c>
      <c r="X1076" s="457">
        <f t="shared" si="655"/>
        <v>2699.7287437441337</v>
      </c>
      <c r="AH1076" s="17"/>
      <c r="AI1076" s="17"/>
    </row>
    <row r="1077" spans="1:35" x14ac:dyDescent="0.25">
      <c r="A1077" s="21">
        <f>A$19</f>
        <v>1962</v>
      </c>
      <c r="B1077" s="149">
        <f t="shared" si="646"/>
        <v>1.5527950310559006E-2</v>
      </c>
      <c r="C1077" s="20">
        <f t="shared" si="648"/>
        <v>15</v>
      </c>
      <c r="D1077" s="21">
        <f>BC841</f>
        <v>104</v>
      </c>
      <c r="E1077" s="22">
        <f t="shared" si="656"/>
        <v>11912.301047073117</v>
      </c>
      <c r="F1077" s="21">
        <f t="shared" si="657"/>
        <v>1238879.3088956042</v>
      </c>
      <c r="G1077" s="24">
        <f>'DDS Rates for Amend'!AW22</f>
        <v>6.855736482271098</v>
      </c>
      <c r="H1077" s="33">
        <f t="shared" si="658"/>
        <v>8493430.0751263984</v>
      </c>
      <c r="I1077" s="689"/>
      <c r="J1077" s="205"/>
      <c r="K1077" s="285">
        <f>SUM(H1063:H1077)</f>
        <v>103363925.67262706</v>
      </c>
      <c r="L1077" s="17">
        <f>IF(K1077='Appendix J-2'!CD55,0,error)</f>
        <v>0</v>
      </c>
      <c r="N1077" s="453">
        <f t="shared" si="642"/>
        <v>1962</v>
      </c>
      <c r="O1077" s="584">
        <f t="shared" si="647"/>
        <v>1.5527950310559006E-2</v>
      </c>
      <c r="P1077" s="586">
        <f t="shared" si="649"/>
        <v>15</v>
      </c>
      <c r="Q1077" s="453">
        <f t="shared" si="659"/>
        <v>204</v>
      </c>
      <c r="R1077" s="451">
        <f t="shared" si="660"/>
        <v>10340.1711798912</v>
      </c>
      <c r="S1077" s="453">
        <f t="shared" si="651"/>
        <v>2109394.920697805</v>
      </c>
      <c r="T1077" s="446">
        <v>15</v>
      </c>
      <c r="U1077" s="457">
        <f t="shared" si="652"/>
        <v>150.73333333333335</v>
      </c>
      <c r="V1077" s="457">
        <f t="shared" si="653"/>
        <v>53.266666666666673</v>
      </c>
      <c r="W1077" s="457">
        <f t="shared" si="654"/>
        <v>7582.6967107332584</v>
      </c>
      <c r="X1077" s="457">
        <f t="shared" si="655"/>
        <v>2757.4744691579417</v>
      </c>
      <c r="AH1077" s="17"/>
      <c r="AI1077" s="17"/>
    </row>
    <row r="1078" spans="1:35" x14ac:dyDescent="0.25">
      <c r="C1078"/>
      <c r="I1078" s="568"/>
      <c r="J1078"/>
      <c r="N1078" s="446"/>
      <c r="O1078" s="446"/>
      <c r="P1078" s="446"/>
      <c r="Q1078" s="446"/>
      <c r="R1078" s="446"/>
      <c r="S1078" s="446"/>
      <c r="T1078" s="446"/>
      <c r="U1078" s="446"/>
      <c r="V1078" s="446"/>
      <c r="W1078" s="446"/>
      <c r="X1078" s="446"/>
      <c r="AH1078" s="17"/>
      <c r="AI1078" s="17"/>
    </row>
    <row r="1079" spans="1:35" x14ac:dyDescent="0.25">
      <c r="A1079" s="271" t="s">
        <v>65</v>
      </c>
      <c r="B1079" s="272"/>
      <c r="C1079" s="272"/>
      <c r="D1079" s="292" t="str">
        <f>'Appendix J-2'!B85</f>
        <v>Assistance</v>
      </c>
      <c r="E1079" s="223" t="str">
        <f>'Appendix J-2'!C85</f>
        <v>1 day</v>
      </c>
      <c r="F1079" s="690"/>
      <c r="G1079" s="690"/>
      <c r="H1079" s="690"/>
      <c r="I1079" s="687" t="s">
        <v>1113</v>
      </c>
      <c r="J1079" s="205"/>
    </row>
    <row r="1080" spans="1:35" x14ac:dyDescent="0.25">
      <c r="A1080" s="147" t="s">
        <v>26</v>
      </c>
      <c r="B1080" s="147" t="s">
        <v>27</v>
      </c>
      <c r="C1080" s="50" t="s">
        <v>166</v>
      </c>
      <c r="D1080" s="91" t="s">
        <v>154</v>
      </c>
      <c r="E1080" s="89" t="s">
        <v>155</v>
      </c>
      <c r="F1080" s="34" t="s">
        <v>158</v>
      </c>
      <c r="G1080" s="35" t="s">
        <v>156</v>
      </c>
      <c r="H1080" s="51" t="s">
        <v>157</v>
      </c>
      <c r="I1080" s="688"/>
      <c r="J1080" s="205"/>
    </row>
    <row r="1081" spans="1:35" x14ac:dyDescent="0.25">
      <c r="A1081" s="21">
        <f>A$5</f>
        <v>1182</v>
      </c>
      <c r="B1081" s="148"/>
      <c r="C1081" s="144">
        <v>1</v>
      </c>
      <c r="D1081" s="247">
        <f>'Appendix J-2'!D85</f>
        <v>28</v>
      </c>
      <c r="E1081" s="22">
        <f>IF(F1081=0,0,F1081/D1081)</f>
        <v>284.21428571428572</v>
      </c>
      <c r="F1081" s="247">
        <f>'Appendix J-2'!F85</f>
        <v>7958</v>
      </c>
      <c r="G1081" s="24">
        <f>H1081/F1081</f>
        <v>217</v>
      </c>
      <c r="H1081" s="250">
        <f>'Appendix J-2'!H85</f>
        <v>1726886</v>
      </c>
      <c r="I1081" s="688"/>
      <c r="J1081" s="205"/>
    </row>
    <row r="1082" spans="1:35" x14ac:dyDescent="0.25">
      <c r="A1082" s="21">
        <f>A$6</f>
        <v>1288</v>
      </c>
      <c r="B1082" s="149">
        <f>(A1082-A1081)/A1081</f>
        <v>8.9678510998307953E-2</v>
      </c>
      <c r="C1082" s="52">
        <v>2</v>
      </c>
      <c r="D1082" s="247">
        <f>'Appendix J-2'!I85</f>
        <v>24</v>
      </c>
      <c r="E1082" s="22">
        <f t="shared" ref="E1082:E1089" si="661">IF(F1082=0,0,F1082/D1082)</f>
        <v>326.29166666666669</v>
      </c>
      <c r="F1082" s="247">
        <f>'Appendix J-2'!K85</f>
        <v>7831</v>
      </c>
      <c r="G1082" s="24">
        <f t="shared" ref="G1082:G1089" si="662">H1082/F1082</f>
        <v>217</v>
      </c>
      <c r="H1082" s="250">
        <f>'Appendix J-2'!M85</f>
        <v>1699327</v>
      </c>
      <c r="I1082" s="688"/>
      <c r="J1082" s="205"/>
    </row>
    <row r="1083" spans="1:35" x14ac:dyDescent="0.25">
      <c r="A1083" s="21">
        <f>A$7</f>
        <v>1495</v>
      </c>
      <c r="B1083" s="149">
        <f t="shared" ref="B1083:B1095" si="663">(A1083-A1082)/A1082</f>
        <v>0.16071428571428573</v>
      </c>
      <c r="C1083" s="52">
        <v>3</v>
      </c>
      <c r="D1083" s="247">
        <f>'Appendix J-2'!N85</f>
        <v>24</v>
      </c>
      <c r="E1083" s="22">
        <f t="shared" si="661"/>
        <v>261.41666666666669</v>
      </c>
      <c r="F1083" s="247">
        <f>'Appendix J-2'!P85</f>
        <v>6274</v>
      </c>
      <c r="G1083" s="24">
        <f t="shared" si="662"/>
        <v>217</v>
      </c>
      <c r="H1083" s="248">
        <f>'Appendix J-2'!R85</f>
        <v>1361458</v>
      </c>
      <c r="I1083" s="688"/>
      <c r="J1083" s="205"/>
    </row>
    <row r="1084" spans="1:35" x14ac:dyDescent="0.25">
      <c r="A1084" s="21">
        <f>A$8</f>
        <v>1484</v>
      </c>
      <c r="B1084" s="149">
        <f t="shared" si="663"/>
        <v>-7.3578595317725752E-3</v>
      </c>
      <c r="C1084" s="52">
        <f t="shared" ref="C1084:C1095" si="664">C1083+1</f>
        <v>4</v>
      </c>
      <c r="D1084" s="247">
        <f>'Appendix J-2'!S85</f>
        <v>23</v>
      </c>
      <c r="E1084" s="22">
        <f t="shared" si="661"/>
        <v>222.47826086956522</v>
      </c>
      <c r="F1084" s="247">
        <f>'Appendix J-2'!U85</f>
        <v>5117</v>
      </c>
      <c r="G1084" s="24">
        <f t="shared" si="662"/>
        <v>217</v>
      </c>
      <c r="H1084" s="248">
        <f>'Appendix J-2'!W85</f>
        <v>1110389</v>
      </c>
      <c r="I1084" s="688"/>
      <c r="J1084" s="205"/>
    </row>
    <row r="1085" spans="1:35" x14ac:dyDescent="0.25">
      <c r="A1085" s="21">
        <f>A$9</f>
        <v>1528</v>
      </c>
      <c r="B1085" s="149">
        <f t="shared" si="663"/>
        <v>2.9649595687331536E-2</v>
      </c>
      <c r="C1085" s="52">
        <f t="shared" si="664"/>
        <v>5</v>
      </c>
      <c r="D1085" s="247">
        <f>'Appendix J-2'!X85</f>
        <v>15</v>
      </c>
      <c r="E1085" s="22">
        <f t="shared" si="661"/>
        <v>318.66666666666669</v>
      </c>
      <c r="F1085" s="247">
        <f>'Appendix J-2'!Z85</f>
        <v>4780</v>
      </c>
      <c r="G1085" s="24">
        <f t="shared" si="662"/>
        <v>217</v>
      </c>
      <c r="H1085" s="248">
        <f>'Appendix J-2'!AB85</f>
        <v>1037260</v>
      </c>
      <c r="I1085" s="688"/>
      <c r="J1085" s="205"/>
      <c r="N1085" s="716" t="s">
        <v>524</v>
      </c>
      <c r="O1085" s="716"/>
      <c r="P1085" s="716"/>
      <c r="Q1085" s="716"/>
      <c r="R1085" s="716"/>
      <c r="S1085" s="716"/>
      <c r="T1085" s="716"/>
      <c r="U1085" s="716"/>
      <c r="V1085" s="716"/>
      <c r="W1085" s="716"/>
      <c r="X1085" s="716"/>
      <c r="Y1085" s="716"/>
    </row>
    <row r="1086" spans="1:35" x14ac:dyDescent="0.25">
      <c r="A1086" s="21">
        <f>A$10</f>
        <v>1592</v>
      </c>
      <c r="B1086" s="149">
        <f t="shared" si="663"/>
        <v>4.1884816753926704E-2</v>
      </c>
      <c r="C1086" s="52">
        <f t="shared" si="664"/>
        <v>6</v>
      </c>
      <c r="D1086" s="249">
        <f>'Appendix J-2'!AC85</f>
        <v>36</v>
      </c>
      <c r="E1086" s="22">
        <f t="shared" si="661"/>
        <v>142.5</v>
      </c>
      <c r="F1086" s="249">
        <f>'Appendix J-2'!AE85</f>
        <v>5130</v>
      </c>
      <c r="G1086" s="24">
        <f t="shared" si="662"/>
        <v>227.33684210526314</v>
      </c>
      <c r="H1086" s="248">
        <f>'Appendix J-2'!AG85</f>
        <v>1166238</v>
      </c>
      <c r="I1086" s="688"/>
      <c r="J1086" s="205"/>
      <c r="P1086" s="353">
        <v>0.08</v>
      </c>
      <c r="Q1086" s="353">
        <v>0.06</v>
      </c>
      <c r="R1086" s="353">
        <v>0.26</v>
      </c>
      <c r="S1086" s="353">
        <v>7.0000000000000007E-2</v>
      </c>
      <c r="T1086" s="353">
        <v>0.02</v>
      </c>
      <c r="U1086" s="353">
        <v>0.11</v>
      </c>
      <c r="V1086" s="353">
        <v>0.12</v>
      </c>
      <c r="W1086" s="353">
        <v>0.14000000000000001</v>
      </c>
      <c r="X1086" s="353">
        <v>7.0000000000000007E-2</v>
      </c>
      <c r="Y1086" s="353">
        <v>0.06</v>
      </c>
      <c r="Z1086" s="353">
        <f>SUM(P1086:Y1086)</f>
        <v>0.99000000000000021</v>
      </c>
    </row>
    <row r="1087" spans="1:35" x14ac:dyDescent="0.25">
      <c r="A1087" s="21">
        <f>A$11</f>
        <v>1642</v>
      </c>
      <c r="B1087" s="149">
        <f t="shared" si="663"/>
        <v>3.1407035175879394E-2</v>
      </c>
      <c r="C1087" s="20">
        <f t="shared" si="664"/>
        <v>7</v>
      </c>
      <c r="D1087" s="249">
        <f>'Appendix J-2'!AH85</f>
        <v>27</v>
      </c>
      <c r="E1087" s="22">
        <f t="shared" si="661"/>
        <v>122.70370370370371</v>
      </c>
      <c r="F1087" s="249">
        <f>'Appendix J-2'!AJ85</f>
        <v>3313</v>
      </c>
      <c r="G1087" s="24">
        <f t="shared" si="662"/>
        <v>228.91048596438273</v>
      </c>
      <c r="H1087" s="248">
        <f>'Appendix J-2'!AL85</f>
        <v>758380.44</v>
      </c>
      <c r="I1087" s="688"/>
      <c r="J1087" s="205"/>
      <c r="N1087" s="354"/>
      <c r="O1087" s="354"/>
      <c r="P1087" s="355" t="s">
        <v>525</v>
      </c>
      <c r="Q1087" s="355" t="s">
        <v>526</v>
      </c>
      <c r="R1087" s="355" t="s">
        <v>527</v>
      </c>
      <c r="S1087" s="355" t="s">
        <v>528</v>
      </c>
      <c r="T1087" s="355" t="s">
        <v>529</v>
      </c>
      <c r="U1087" s="355" t="s">
        <v>530</v>
      </c>
      <c r="V1087" s="355" t="s">
        <v>531</v>
      </c>
      <c r="W1087" s="355" t="s">
        <v>532</v>
      </c>
      <c r="X1087" s="355" t="s">
        <v>533</v>
      </c>
      <c r="Y1087" s="355" t="s">
        <v>534</v>
      </c>
    </row>
    <row r="1088" spans="1:35" x14ac:dyDescent="0.25">
      <c r="A1088" s="21">
        <f>A$12</f>
        <v>1675</v>
      </c>
      <c r="B1088" s="149">
        <f t="shared" si="663"/>
        <v>2.0097442143727162E-2</v>
      </c>
      <c r="C1088" s="20">
        <f t="shared" si="664"/>
        <v>8</v>
      </c>
      <c r="D1088" s="249">
        <f>'Appendix J-2'!AM85</f>
        <v>12</v>
      </c>
      <c r="E1088" s="22">
        <f t="shared" si="661"/>
        <v>185.25</v>
      </c>
      <c r="F1088" s="249">
        <f>'Appendix J-2'!AO85</f>
        <v>2223</v>
      </c>
      <c r="G1088" s="24">
        <f t="shared" si="662"/>
        <v>241.44985155195681</v>
      </c>
      <c r="H1088" s="248">
        <f>'Appendix J-2'!AQ85</f>
        <v>536743.02</v>
      </c>
      <c r="I1088" s="688"/>
      <c r="J1088" s="528">
        <f>O1088/A1088</f>
        <v>0.10746268656716418</v>
      </c>
      <c r="N1088" s="31" t="s">
        <v>507</v>
      </c>
      <c r="O1088" s="31">
        <v>180</v>
      </c>
    </row>
    <row r="1089" spans="1:26" x14ac:dyDescent="0.25">
      <c r="A1089" s="21">
        <f>A$13</f>
        <v>1739</v>
      </c>
      <c r="B1089" s="149">
        <f t="shared" si="663"/>
        <v>3.8208955223880597E-2</v>
      </c>
      <c r="C1089" s="20">
        <f t="shared" si="664"/>
        <v>9</v>
      </c>
      <c r="D1089" s="249">
        <f>'Appendix J-2'!AR85</f>
        <v>17</v>
      </c>
      <c r="E1089" s="22">
        <f t="shared" si="661"/>
        <v>186.88235294117646</v>
      </c>
      <c r="F1089" s="249">
        <f>'Appendix J-2'!AT85</f>
        <v>3177</v>
      </c>
      <c r="G1089" s="24">
        <f t="shared" si="662"/>
        <v>251.28224425558702</v>
      </c>
      <c r="H1089" s="248">
        <f>'Appendix J-2'!AV85</f>
        <v>798323.69</v>
      </c>
      <c r="I1089" s="688"/>
      <c r="J1089" s="528">
        <f t="shared" ref="J1089" si="665">O1089/A1089</f>
        <v>0.10063254744105808</v>
      </c>
      <c r="N1089" s="31" t="s">
        <v>508</v>
      </c>
      <c r="O1089" s="31">
        <v>175</v>
      </c>
    </row>
    <row r="1090" spans="1:26" x14ac:dyDescent="0.25">
      <c r="A1090" s="21">
        <f>A$14</f>
        <v>1752</v>
      </c>
      <c r="B1090" s="149">
        <f t="shared" si="663"/>
        <v>7.4755606670500289E-3</v>
      </c>
      <c r="C1090" s="20">
        <f t="shared" si="664"/>
        <v>10</v>
      </c>
      <c r="D1090" s="21">
        <f>ROUND(P1090,0)</f>
        <v>14</v>
      </c>
      <c r="E1090" s="22">
        <f>IF(TREND($E$1081:$E$1089,$C$1081:$C$1089,C1090)&lt;365,TREND($E$1081:$E$1089,$C$1081:$C$1089,C1090),365)</f>
        <v>130.33454609030949</v>
      </c>
      <c r="F1090" s="21">
        <f>D1090*E1090</f>
        <v>1824.6836452643329</v>
      </c>
      <c r="G1090" s="24">
        <f>'DDS Rates for Amend'!CA17</f>
        <v>268.70999999999998</v>
      </c>
      <c r="H1090" s="33">
        <f>F1090*G1090</f>
        <v>490310.74231897882</v>
      </c>
      <c r="I1090" s="688"/>
      <c r="J1090" s="529">
        <f t="shared" ref="J1090:J1095" si="666">ROUND($J$1089*A1090,0)</f>
        <v>176</v>
      </c>
      <c r="N1090" s="31" t="s">
        <v>523</v>
      </c>
      <c r="O1090" s="530">
        <f>J1090</f>
        <v>176</v>
      </c>
      <c r="P1090" s="31">
        <f>O1090*$P$1086</f>
        <v>14.08</v>
      </c>
      <c r="Q1090" s="31">
        <f>O1090*$Q$1086</f>
        <v>10.559999999999999</v>
      </c>
      <c r="R1090" s="31">
        <f>O1090*$R$1086</f>
        <v>45.760000000000005</v>
      </c>
      <c r="S1090" s="31">
        <f>O1090*$S$1086</f>
        <v>12.32</v>
      </c>
      <c r="T1090" s="31">
        <f>O1090*$T$1086</f>
        <v>3.52</v>
      </c>
      <c r="U1090" s="31">
        <f>O1090*$U$1086</f>
        <v>19.36</v>
      </c>
      <c r="V1090" s="31">
        <f>O1090*$V$1086</f>
        <v>21.119999999999997</v>
      </c>
      <c r="W1090" s="31">
        <f>O1090*$W$1086</f>
        <v>24.64</v>
      </c>
      <c r="X1090" s="31">
        <f>O1090*$X$1086</f>
        <v>12.32</v>
      </c>
      <c r="Y1090" s="31">
        <f>O1090*$Y$1086</f>
        <v>10.559999999999999</v>
      </c>
      <c r="Z1090" s="31">
        <f>SUM(P1090:Y1090)</f>
        <v>174.24</v>
      </c>
    </row>
    <row r="1091" spans="1:26" x14ac:dyDescent="0.25">
      <c r="A1091" s="21">
        <f>A$15</f>
        <v>1822</v>
      </c>
      <c r="B1091" s="149">
        <f t="shared" si="663"/>
        <v>3.9954337899543377E-2</v>
      </c>
      <c r="C1091" s="20">
        <f t="shared" si="664"/>
        <v>11</v>
      </c>
      <c r="D1091" s="21">
        <f t="shared" ref="D1091:D1095" si="667">ROUND(P1091,0)</f>
        <v>14</v>
      </c>
      <c r="E1091" s="22">
        <f t="shared" ref="E1091:E1095" si="668">IF(TREND($E$1081:$E$1089,$C$1081:$C$1089,C1091)&lt;365,TREND($E$1081:$E$1089,$C$1081:$C$1089,C1091),365)</f>
        <v>110.83693079217736</v>
      </c>
      <c r="F1091" s="21">
        <f t="shared" ref="F1091:F1095" si="669">D1091*E1091</f>
        <v>1551.717031090483</v>
      </c>
      <c r="G1091" s="24">
        <f>'DDS Rates for Amend'!CA18</f>
        <v>275.69646</v>
      </c>
      <c r="H1091" s="33">
        <f t="shared" ref="H1091:H1095" si="670">F1091*G1091</f>
        <v>427802.89239335613</v>
      </c>
      <c r="I1091" s="688"/>
      <c r="J1091" s="529">
        <f t="shared" si="666"/>
        <v>183</v>
      </c>
      <c r="N1091" s="31" t="s">
        <v>511</v>
      </c>
      <c r="O1091" s="31">
        <f>ROUND(TREND($O$1088:$O$1090,$A$1088:$A$1090,A1091),0)</f>
        <v>171</v>
      </c>
      <c r="P1091" s="31">
        <f t="shared" ref="P1091:P1095" si="671">O1091*$P$1086</f>
        <v>13.68</v>
      </c>
      <c r="Q1091" s="31">
        <f t="shared" ref="Q1091:Q1095" si="672">O1091*$Q$1086</f>
        <v>10.26</v>
      </c>
      <c r="R1091" s="31">
        <f t="shared" ref="R1091:R1095" si="673">O1091*$R$1086</f>
        <v>44.46</v>
      </c>
      <c r="S1091" s="31">
        <f t="shared" ref="S1091:S1095" si="674">O1091*$S$1086</f>
        <v>11.97</v>
      </c>
      <c r="T1091" s="31">
        <f t="shared" ref="T1091:T1095" si="675">O1091*$T$1086</f>
        <v>3.42</v>
      </c>
      <c r="U1091" s="31">
        <f t="shared" ref="U1091:U1095" si="676">O1091*$U$1086</f>
        <v>18.809999999999999</v>
      </c>
      <c r="V1091" s="31">
        <f t="shared" ref="V1091:V1095" si="677">O1091*$V$1086</f>
        <v>20.52</v>
      </c>
      <c r="W1091" s="31">
        <f t="shared" ref="W1091:W1095" si="678">O1091*$W$1086</f>
        <v>23.94</v>
      </c>
      <c r="X1091" s="31">
        <f t="shared" ref="X1091:X1095" si="679">O1091*$X$1086</f>
        <v>11.97</v>
      </c>
      <c r="Y1091" s="31">
        <f t="shared" ref="Y1091:Y1095" si="680">O1091*$Y$1086</f>
        <v>10.26</v>
      </c>
      <c r="Z1091" s="31">
        <f t="shared" ref="Z1091:Z1095" si="681">SUM(P1091:Y1091)</f>
        <v>169.29</v>
      </c>
    </row>
    <row r="1092" spans="1:26" x14ac:dyDescent="0.25">
      <c r="A1092" s="21">
        <f>A$16</f>
        <v>1872</v>
      </c>
      <c r="B1092" s="149">
        <f t="shared" si="663"/>
        <v>2.7442371020856202E-2</v>
      </c>
      <c r="C1092" s="20">
        <f t="shared" si="664"/>
        <v>12</v>
      </c>
      <c r="D1092" s="21">
        <f t="shared" si="667"/>
        <v>13</v>
      </c>
      <c r="E1092" s="22">
        <f t="shared" si="668"/>
        <v>91.339315494045195</v>
      </c>
      <c r="F1092" s="21">
        <f t="shared" si="669"/>
        <v>1187.4111014225875</v>
      </c>
      <c r="G1092" s="24">
        <f>'DDS Rates for Amend'!CA19</f>
        <v>282.86456795999999</v>
      </c>
      <c r="H1092" s="33">
        <f t="shared" si="670"/>
        <v>335876.52819480794</v>
      </c>
      <c r="I1092" s="688"/>
      <c r="J1092" s="529">
        <f t="shared" si="666"/>
        <v>188</v>
      </c>
      <c r="N1092" s="31" t="s">
        <v>512</v>
      </c>
      <c r="O1092" s="31">
        <f t="shared" ref="O1092:O1095" si="682">ROUND(TREND($O$1088:$O$1090,$A$1088:$A$1090,A1092),0)</f>
        <v>168</v>
      </c>
      <c r="P1092" s="31">
        <f t="shared" si="671"/>
        <v>13.44</v>
      </c>
      <c r="Q1092" s="31">
        <f t="shared" si="672"/>
        <v>10.08</v>
      </c>
      <c r="R1092" s="31">
        <f t="shared" si="673"/>
        <v>43.68</v>
      </c>
      <c r="S1092" s="31">
        <f t="shared" si="674"/>
        <v>11.760000000000002</v>
      </c>
      <c r="T1092" s="31">
        <f t="shared" si="675"/>
        <v>3.36</v>
      </c>
      <c r="U1092" s="31">
        <f t="shared" si="676"/>
        <v>18.48</v>
      </c>
      <c r="V1092" s="31">
        <f t="shared" si="677"/>
        <v>20.16</v>
      </c>
      <c r="W1092" s="31">
        <f t="shared" si="678"/>
        <v>23.520000000000003</v>
      </c>
      <c r="X1092" s="31">
        <f t="shared" si="679"/>
        <v>11.760000000000002</v>
      </c>
      <c r="Y1092" s="31">
        <f t="shared" si="680"/>
        <v>10.08</v>
      </c>
      <c r="Z1092" s="31">
        <f t="shared" si="681"/>
        <v>166.32000000000002</v>
      </c>
    </row>
    <row r="1093" spans="1:26" x14ac:dyDescent="0.25">
      <c r="A1093" s="21">
        <f>A$17</f>
        <v>1902</v>
      </c>
      <c r="B1093" s="149">
        <f t="shared" si="663"/>
        <v>1.6025641025641024E-2</v>
      </c>
      <c r="C1093" s="20">
        <f t="shared" si="664"/>
        <v>13</v>
      </c>
      <c r="D1093" s="21">
        <f t="shared" si="667"/>
        <v>13</v>
      </c>
      <c r="E1093" s="22">
        <f t="shared" si="668"/>
        <v>71.841700195913063</v>
      </c>
      <c r="F1093" s="21">
        <f t="shared" si="669"/>
        <v>933.94210254686982</v>
      </c>
      <c r="G1093" s="24">
        <f>'DDS Rates for Amend'!CA20</f>
        <v>290.21904672695996</v>
      </c>
      <c r="H1093" s="33">
        <f t="shared" si="670"/>
        <v>271047.78669932525</v>
      </c>
      <c r="I1093" s="688"/>
      <c r="J1093" s="529">
        <f t="shared" si="666"/>
        <v>191</v>
      </c>
      <c r="N1093" s="31" t="s">
        <v>513</v>
      </c>
      <c r="O1093" s="31">
        <f t="shared" si="682"/>
        <v>166</v>
      </c>
      <c r="P1093" s="31">
        <f t="shared" si="671"/>
        <v>13.280000000000001</v>
      </c>
      <c r="Q1093" s="31">
        <f t="shared" si="672"/>
        <v>9.9599999999999991</v>
      </c>
      <c r="R1093" s="31">
        <f t="shared" si="673"/>
        <v>43.160000000000004</v>
      </c>
      <c r="S1093" s="31">
        <f t="shared" si="674"/>
        <v>11.620000000000001</v>
      </c>
      <c r="T1093" s="31">
        <f t="shared" si="675"/>
        <v>3.3200000000000003</v>
      </c>
      <c r="U1093" s="31">
        <f t="shared" si="676"/>
        <v>18.260000000000002</v>
      </c>
      <c r="V1093" s="31">
        <f t="shared" si="677"/>
        <v>19.919999999999998</v>
      </c>
      <c r="W1093" s="31">
        <f t="shared" si="678"/>
        <v>23.240000000000002</v>
      </c>
      <c r="X1093" s="31">
        <f t="shared" si="679"/>
        <v>11.620000000000001</v>
      </c>
      <c r="Y1093" s="31">
        <f t="shared" si="680"/>
        <v>9.9599999999999991</v>
      </c>
      <c r="Z1093" s="31">
        <f t="shared" si="681"/>
        <v>164.34000000000003</v>
      </c>
    </row>
    <row r="1094" spans="1:26" x14ac:dyDescent="0.25">
      <c r="A1094" s="21">
        <f>A$18</f>
        <v>1932</v>
      </c>
      <c r="B1094" s="149">
        <f t="shared" si="663"/>
        <v>1.5772870662460567E-2</v>
      </c>
      <c r="C1094" s="20">
        <f t="shared" si="664"/>
        <v>14</v>
      </c>
      <c r="D1094" s="21">
        <f t="shared" si="667"/>
        <v>13</v>
      </c>
      <c r="E1094" s="22">
        <f t="shared" si="668"/>
        <v>52.344084897780931</v>
      </c>
      <c r="F1094" s="21">
        <f t="shared" si="669"/>
        <v>680.4731036711521</v>
      </c>
      <c r="G1094" s="24">
        <f>'DDS Rates for Amend'!CA21</f>
        <v>297.7647419418609</v>
      </c>
      <c r="H1094" s="33">
        <f t="shared" si="670"/>
        <v>202620.89811301776</v>
      </c>
      <c r="I1094" s="688"/>
      <c r="J1094" s="529">
        <f t="shared" si="666"/>
        <v>194</v>
      </c>
      <c r="N1094" s="31" t="s">
        <v>514</v>
      </c>
      <c r="O1094" s="31">
        <f t="shared" si="682"/>
        <v>164</v>
      </c>
      <c r="P1094" s="31">
        <f t="shared" si="671"/>
        <v>13.120000000000001</v>
      </c>
      <c r="Q1094" s="31">
        <f t="shared" si="672"/>
        <v>9.84</v>
      </c>
      <c r="R1094" s="31">
        <f t="shared" si="673"/>
        <v>42.64</v>
      </c>
      <c r="S1094" s="31">
        <f t="shared" si="674"/>
        <v>11.48</v>
      </c>
      <c r="T1094" s="31">
        <f t="shared" si="675"/>
        <v>3.2800000000000002</v>
      </c>
      <c r="U1094" s="31">
        <f t="shared" si="676"/>
        <v>18.04</v>
      </c>
      <c r="V1094" s="31">
        <f t="shared" si="677"/>
        <v>19.68</v>
      </c>
      <c r="W1094" s="31">
        <f t="shared" si="678"/>
        <v>22.96</v>
      </c>
      <c r="X1094" s="31">
        <f t="shared" si="679"/>
        <v>11.48</v>
      </c>
      <c r="Y1094" s="31">
        <f t="shared" si="680"/>
        <v>9.84</v>
      </c>
      <c r="Z1094" s="31">
        <f t="shared" si="681"/>
        <v>162.36000000000001</v>
      </c>
    </row>
    <row r="1095" spans="1:26" x14ac:dyDescent="0.25">
      <c r="A1095" s="21">
        <f>A$19</f>
        <v>1962</v>
      </c>
      <c r="B1095" s="149">
        <f t="shared" si="663"/>
        <v>1.5527950310559006E-2</v>
      </c>
      <c r="C1095" s="20">
        <f t="shared" si="664"/>
        <v>15</v>
      </c>
      <c r="D1095" s="21">
        <f t="shared" si="667"/>
        <v>13</v>
      </c>
      <c r="E1095" s="22">
        <f t="shared" si="668"/>
        <v>32.846469599648799</v>
      </c>
      <c r="F1095" s="21">
        <f t="shared" si="669"/>
        <v>427.00410479543439</v>
      </c>
      <c r="G1095" s="24">
        <f>'DDS Rates for Amend'!CA22</f>
        <v>305.50662523234928</v>
      </c>
      <c r="H1095" s="33">
        <f t="shared" si="670"/>
        <v>130452.58301641357</v>
      </c>
      <c r="I1095" s="689"/>
      <c r="J1095" s="529">
        <f t="shared" si="666"/>
        <v>197</v>
      </c>
      <c r="K1095" s="285">
        <f>SUM(H1081:H1095)</f>
        <v>12053116.580735898</v>
      </c>
      <c r="L1095" s="17">
        <f>IF(K1095='Appendix J-2'!CD85,0,error)</f>
        <v>0</v>
      </c>
      <c r="N1095" s="31" t="s">
        <v>515</v>
      </c>
      <c r="O1095" s="31">
        <f t="shared" si="682"/>
        <v>163</v>
      </c>
      <c r="P1095" s="31">
        <f t="shared" si="671"/>
        <v>13.040000000000001</v>
      </c>
      <c r="Q1095" s="31">
        <f t="shared" si="672"/>
        <v>9.7799999999999994</v>
      </c>
      <c r="R1095" s="31">
        <f t="shared" si="673"/>
        <v>42.38</v>
      </c>
      <c r="S1095" s="31">
        <f t="shared" si="674"/>
        <v>11.410000000000002</v>
      </c>
      <c r="T1095" s="31">
        <f t="shared" si="675"/>
        <v>3.2600000000000002</v>
      </c>
      <c r="U1095" s="31">
        <f t="shared" si="676"/>
        <v>17.93</v>
      </c>
      <c r="V1095" s="31">
        <f t="shared" si="677"/>
        <v>19.559999999999999</v>
      </c>
      <c r="W1095" s="31">
        <f t="shared" si="678"/>
        <v>22.820000000000004</v>
      </c>
      <c r="X1095" s="31">
        <f t="shared" si="679"/>
        <v>11.410000000000002</v>
      </c>
      <c r="Y1095" s="31">
        <f t="shared" si="680"/>
        <v>9.7799999999999994</v>
      </c>
      <c r="Z1095" s="31">
        <f t="shared" si="681"/>
        <v>161.37</v>
      </c>
    </row>
    <row r="1096" spans="1:26" x14ac:dyDescent="0.25">
      <c r="C1096"/>
      <c r="I1096" s="544"/>
      <c r="J1096"/>
    </row>
    <row r="1097" spans="1:26" ht="15" customHeight="1" x14ac:dyDescent="0.25">
      <c r="A1097" s="271" t="s">
        <v>66</v>
      </c>
      <c r="B1097" s="272"/>
      <c r="C1097" s="272"/>
      <c r="D1097" s="292" t="str">
        <f>'Appendix J-2'!B86</f>
        <v>Assistance</v>
      </c>
      <c r="E1097" s="223" t="str">
        <f>'Appendix J-2'!C86</f>
        <v>1 day</v>
      </c>
      <c r="F1097" s="690"/>
      <c r="G1097" s="690"/>
      <c r="H1097" s="690"/>
      <c r="I1097" s="687" t="s">
        <v>1113</v>
      </c>
      <c r="J1097" s="205"/>
    </row>
    <row r="1098" spans="1:26" x14ac:dyDescent="0.25">
      <c r="A1098" s="147" t="s">
        <v>26</v>
      </c>
      <c r="B1098" s="147" t="s">
        <v>27</v>
      </c>
      <c r="C1098" s="50" t="s">
        <v>166</v>
      </c>
      <c r="D1098" s="91" t="s">
        <v>154</v>
      </c>
      <c r="E1098" s="89" t="s">
        <v>155</v>
      </c>
      <c r="F1098" s="34" t="s">
        <v>158</v>
      </c>
      <c r="G1098" s="35" t="s">
        <v>156</v>
      </c>
      <c r="H1098" s="51" t="s">
        <v>157</v>
      </c>
      <c r="I1098" s="688"/>
      <c r="J1098" s="205"/>
    </row>
    <row r="1099" spans="1:26" ht="15" customHeight="1" x14ac:dyDescent="0.25">
      <c r="A1099" s="21">
        <f>A$5</f>
        <v>1182</v>
      </c>
      <c r="B1099" s="148"/>
      <c r="C1099" s="144">
        <v>1</v>
      </c>
      <c r="D1099" s="247">
        <f>'Appendix J-2'!D86</f>
        <v>18</v>
      </c>
      <c r="E1099" s="22">
        <f>IF(F1099=0,0,F1099/D1099)</f>
        <v>288.77777777777777</v>
      </c>
      <c r="F1099" s="247">
        <f>'Appendix J-2'!F86</f>
        <v>5198</v>
      </c>
      <c r="G1099" s="24">
        <f>H1099/F1099</f>
        <v>343.99923047325893</v>
      </c>
      <c r="H1099" s="250">
        <f>'Appendix J-2'!H86</f>
        <v>1788108</v>
      </c>
      <c r="I1099" s="688"/>
      <c r="J1099" s="205"/>
    </row>
    <row r="1100" spans="1:26" x14ac:dyDescent="0.25">
      <c r="A1100" s="21">
        <f>A$6</f>
        <v>1288</v>
      </c>
      <c r="B1100" s="149">
        <f>(A1100-A1099)/A1099</f>
        <v>8.9678510998307953E-2</v>
      </c>
      <c r="C1100" s="52">
        <v>2</v>
      </c>
      <c r="D1100" s="247">
        <f>'Appendix J-2'!I86</f>
        <v>19</v>
      </c>
      <c r="E1100" s="22">
        <f t="shared" ref="E1100:E1107" si="683">IF(F1100=0,0,F1100/D1100)</f>
        <v>264.68421052631578</v>
      </c>
      <c r="F1100" s="247">
        <f>'Appendix J-2'!K86</f>
        <v>5029</v>
      </c>
      <c r="G1100" s="24">
        <f t="shared" ref="G1100:G1107" si="684">H1100/F1100</f>
        <v>343.52596540067611</v>
      </c>
      <c r="H1100" s="250">
        <f>'Appendix J-2'!M86</f>
        <v>1727592.08</v>
      </c>
      <c r="I1100" s="688"/>
      <c r="J1100" s="205"/>
    </row>
    <row r="1101" spans="1:26" x14ac:dyDescent="0.25">
      <c r="A1101" s="21">
        <f>A$7</f>
        <v>1495</v>
      </c>
      <c r="B1101" s="149">
        <f t="shared" ref="B1101:B1113" si="685">(A1101-A1100)/A1100</f>
        <v>0.16071428571428573</v>
      </c>
      <c r="C1101" s="52">
        <v>3</v>
      </c>
      <c r="D1101" s="247">
        <f>'Appendix J-2'!N86</f>
        <v>24</v>
      </c>
      <c r="E1101" s="22">
        <f t="shared" si="683"/>
        <v>295.375</v>
      </c>
      <c r="F1101" s="247">
        <f>'Appendix J-2'!P86</f>
        <v>7089</v>
      </c>
      <c r="G1101" s="24">
        <f t="shared" si="684"/>
        <v>344</v>
      </c>
      <c r="H1101" s="248">
        <f>'Appendix J-2'!R86</f>
        <v>2438616</v>
      </c>
      <c r="I1101" s="688"/>
      <c r="J1101" s="205"/>
    </row>
    <row r="1102" spans="1:26" x14ac:dyDescent="0.25">
      <c r="A1102" s="21">
        <f>A$8</f>
        <v>1484</v>
      </c>
      <c r="B1102" s="149">
        <f t="shared" si="685"/>
        <v>-7.3578595317725752E-3</v>
      </c>
      <c r="C1102" s="52">
        <f t="shared" ref="C1102:C1113" si="686">C1101+1</f>
        <v>4</v>
      </c>
      <c r="D1102" s="247">
        <f>'Appendix J-2'!S86</f>
        <v>26</v>
      </c>
      <c r="E1102" s="22">
        <f t="shared" si="683"/>
        <v>256.84615384615387</v>
      </c>
      <c r="F1102" s="247">
        <f>'Appendix J-2'!U86</f>
        <v>6678</v>
      </c>
      <c r="G1102" s="24">
        <f t="shared" si="684"/>
        <v>344</v>
      </c>
      <c r="H1102" s="248">
        <f>'Appendix J-2'!W86</f>
        <v>2297232</v>
      </c>
      <c r="I1102" s="688"/>
      <c r="J1102" s="205"/>
    </row>
    <row r="1103" spans="1:26" x14ac:dyDescent="0.25">
      <c r="A1103" s="21">
        <f>A$9</f>
        <v>1528</v>
      </c>
      <c r="B1103" s="149">
        <f t="shared" si="685"/>
        <v>2.9649595687331536E-2</v>
      </c>
      <c r="C1103" s="52">
        <f t="shared" si="686"/>
        <v>5</v>
      </c>
      <c r="D1103" s="247">
        <f>'Appendix J-2'!X86</f>
        <v>26</v>
      </c>
      <c r="E1103" s="22">
        <f t="shared" si="683"/>
        <v>245.26923076923077</v>
      </c>
      <c r="F1103" s="247">
        <f>'Appendix J-2'!Z86</f>
        <v>6377</v>
      </c>
      <c r="G1103" s="24">
        <f t="shared" si="684"/>
        <v>344</v>
      </c>
      <c r="H1103" s="248">
        <f>'Appendix J-2'!AB86</f>
        <v>2193688</v>
      </c>
      <c r="I1103" s="688"/>
      <c r="J1103" s="205"/>
    </row>
    <row r="1104" spans="1:26" x14ac:dyDescent="0.25">
      <c r="A1104" s="21">
        <f>A$10</f>
        <v>1592</v>
      </c>
      <c r="B1104" s="149">
        <f t="shared" si="685"/>
        <v>4.1884816753926704E-2</v>
      </c>
      <c r="C1104" s="20">
        <f t="shared" si="686"/>
        <v>6</v>
      </c>
      <c r="D1104" s="249">
        <f>'Appendix J-2'!AC86</f>
        <v>37</v>
      </c>
      <c r="E1104" s="22">
        <f t="shared" si="683"/>
        <v>144.24324324324326</v>
      </c>
      <c r="F1104" s="249">
        <f>'Appendix J-2'!AE86</f>
        <v>5337</v>
      </c>
      <c r="G1104" s="24">
        <f t="shared" si="684"/>
        <v>359.94004122166012</v>
      </c>
      <c r="H1104" s="248">
        <f>'Appendix J-2'!AG86</f>
        <v>1921000</v>
      </c>
      <c r="I1104" s="688"/>
      <c r="J1104" s="205"/>
    </row>
    <row r="1105" spans="1:12" x14ac:dyDescent="0.25">
      <c r="A1105" s="21">
        <f>A$11</f>
        <v>1642</v>
      </c>
      <c r="B1105" s="149">
        <f t="shared" si="685"/>
        <v>3.1407035175879394E-2</v>
      </c>
      <c r="C1105" s="20">
        <f t="shared" si="686"/>
        <v>7</v>
      </c>
      <c r="D1105" s="249">
        <f>'Appendix J-2'!AH86</f>
        <v>36</v>
      </c>
      <c r="E1105" s="22">
        <f t="shared" si="683"/>
        <v>167.77777777777777</v>
      </c>
      <c r="F1105" s="249">
        <f>'Appendix J-2'!AJ86</f>
        <v>6040</v>
      </c>
      <c r="G1105" s="24">
        <f t="shared" si="684"/>
        <v>363.92889900662249</v>
      </c>
      <c r="H1105" s="248">
        <f>'Appendix J-2'!AL86</f>
        <v>2198130.5499999998</v>
      </c>
      <c r="I1105" s="688"/>
      <c r="J1105" s="205"/>
    </row>
    <row r="1106" spans="1:12" x14ac:dyDescent="0.25">
      <c r="A1106" s="21">
        <f>A$12</f>
        <v>1675</v>
      </c>
      <c r="B1106" s="149">
        <f t="shared" si="685"/>
        <v>2.0097442143727162E-2</v>
      </c>
      <c r="C1106" s="20">
        <f t="shared" si="686"/>
        <v>8</v>
      </c>
      <c r="D1106" s="249">
        <f>'Appendix J-2'!AM86</f>
        <v>15</v>
      </c>
      <c r="E1106" s="22">
        <f t="shared" si="683"/>
        <v>320.46666666666664</v>
      </c>
      <c r="F1106" s="249">
        <f>'Appendix J-2'!AO86</f>
        <v>4807</v>
      </c>
      <c r="G1106" s="24">
        <f t="shared" si="684"/>
        <v>390.23</v>
      </c>
      <c r="H1106" s="248">
        <f>'Appendix J-2'!AQ86</f>
        <v>1875835.61</v>
      </c>
      <c r="I1106" s="688"/>
      <c r="J1106" s="205"/>
    </row>
    <row r="1107" spans="1:12" x14ac:dyDescent="0.25">
      <c r="A1107" s="21">
        <f>A$13</f>
        <v>1739</v>
      </c>
      <c r="B1107" s="149">
        <f t="shared" si="685"/>
        <v>3.8208955223880597E-2</v>
      </c>
      <c r="C1107" s="20">
        <f t="shared" si="686"/>
        <v>9</v>
      </c>
      <c r="D1107" s="249">
        <f>'Appendix J-2'!AR86</f>
        <v>12</v>
      </c>
      <c r="E1107" s="22">
        <f t="shared" si="683"/>
        <v>286</v>
      </c>
      <c r="F1107" s="249">
        <f>'Appendix J-2'!AT86</f>
        <v>3432</v>
      </c>
      <c r="G1107" s="24">
        <f t="shared" si="684"/>
        <v>385.47251748251745</v>
      </c>
      <c r="H1107" s="248">
        <f>'Appendix J-2'!AV86</f>
        <v>1322941.68</v>
      </c>
      <c r="I1107" s="688"/>
      <c r="J1107" s="205"/>
    </row>
    <row r="1108" spans="1:12" x14ac:dyDescent="0.25">
      <c r="A1108" s="21">
        <f>A$14</f>
        <v>1752</v>
      </c>
      <c r="B1108" s="149">
        <f t="shared" si="685"/>
        <v>7.4755606670500289E-3</v>
      </c>
      <c r="C1108" s="20">
        <f t="shared" si="686"/>
        <v>10</v>
      </c>
      <c r="D1108" s="21">
        <f>ROUND(Q1090,0)</f>
        <v>11</v>
      </c>
      <c r="E1108" s="22">
        <f>IF(TREND($E$1099:$E$1107,$C$1099:$C$1107,C1108)&lt;365,TREND($E$1099:$E$1107,$C$1099:$C$1107,C1108),365)</f>
        <v>234.52991525601169</v>
      </c>
      <c r="F1108" s="21">
        <f>D1108*E1108</f>
        <v>2579.8290678161284</v>
      </c>
      <c r="G1108" s="24">
        <f>'DDS Rates for Amend'!CB17</f>
        <v>377.58</v>
      </c>
      <c r="H1108" s="33">
        <f>F1108*G1108</f>
        <v>974091.85942601366</v>
      </c>
      <c r="I1108" s="688"/>
      <c r="J1108" s="205"/>
    </row>
    <row r="1109" spans="1:12" x14ac:dyDescent="0.25">
      <c r="A1109" s="21">
        <f>A$15</f>
        <v>1822</v>
      </c>
      <c r="B1109" s="149">
        <f t="shared" si="685"/>
        <v>3.9954337899543377E-2</v>
      </c>
      <c r="C1109" s="20">
        <f t="shared" si="686"/>
        <v>11</v>
      </c>
      <c r="D1109" s="21">
        <f t="shared" ref="D1109:D1113" si="687">ROUND(Q1091,0)</f>
        <v>10</v>
      </c>
      <c r="E1109" s="22">
        <f t="shared" ref="E1109:E1113" si="688">IF(TREND($E$1099:$E$1107,$C$1099:$C$1107,C1109)&lt;365,TREND($E$1099:$E$1107,$C$1099:$C$1107,C1109),365)</f>
        <v>231.00389696038815</v>
      </c>
      <c r="F1109" s="21">
        <f t="shared" ref="F1109:F1113" si="689">D1109*E1109</f>
        <v>2310.0389696038815</v>
      </c>
      <c r="G1109" s="24">
        <f>'DDS Rates for Amend'!CB18</f>
        <v>387.39707999999996</v>
      </c>
      <c r="H1109" s="33">
        <f t="shared" ref="H1109:H1113" si="690">F1109*G1109</f>
        <v>894902.35151075234</v>
      </c>
      <c r="I1109" s="688"/>
      <c r="J1109" s="205"/>
    </row>
    <row r="1110" spans="1:12" x14ac:dyDescent="0.25">
      <c r="A1110" s="21">
        <f>A$16</f>
        <v>1872</v>
      </c>
      <c r="B1110" s="149">
        <f t="shared" si="685"/>
        <v>2.7442371020856202E-2</v>
      </c>
      <c r="C1110" s="20">
        <f t="shared" si="686"/>
        <v>12</v>
      </c>
      <c r="D1110" s="21">
        <f t="shared" si="687"/>
        <v>10</v>
      </c>
      <c r="E1110" s="22">
        <f t="shared" si="688"/>
        <v>227.4778786647646</v>
      </c>
      <c r="F1110" s="21">
        <f t="shared" si="689"/>
        <v>2274.778786647646</v>
      </c>
      <c r="G1110" s="24">
        <f>'DDS Rates for Amend'!CB19</f>
        <v>397.46940407999995</v>
      </c>
      <c r="H1110" s="33">
        <f t="shared" si="690"/>
        <v>904154.96874266525</v>
      </c>
      <c r="I1110" s="688"/>
      <c r="J1110" s="205"/>
    </row>
    <row r="1111" spans="1:12" x14ac:dyDescent="0.25">
      <c r="A1111" s="21">
        <f>A$17</f>
        <v>1902</v>
      </c>
      <c r="B1111" s="149">
        <f t="shared" si="685"/>
        <v>1.6025641025641024E-2</v>
      </c>
      <c r="C1111" s="20">
        <f t="shared" si="686"/>
        <v>13</v>
      </c>
      <c r="D1111" s="21">
        <f t="shared" si="687"/>
        <v>10</v>
      </c>
      <c r="E1111" s="22">
        <f t="shared" si="688"/>
        <v>223.95186036914103</v>
      </c>
      <c r="F1111" s="21">
        <f t="shared" si="689"/>
        <v>2239.5186036914101</v>
      </c>
      <c r="G1111" s="24">
        <f>'DDS Rates for Amend'!CB20</f>
        <v>407.80360858607992</v>
      </c>
      <c r="H1111" s="33">
        <f t="shared" si="690"/>
        <v>913283.76808101602</v>
      </c>
      <c r="I1111" s="688"/>
      <c r="J1111" s="205"/>
    </row>
    <row r="1112" spans="1:12" x14ac:dyDescent="0.25">
      <c r="A1112" s="21">
        <f>A$18</f>
        <v>1932</v>
      </c>
      <c r="B1112" s="149">
        <f t="shared" si="685"/>
        <v>1.5772870662460567E-2</v>
      </c>
      <c r="C1112" s="20">
        <f t="shared" si="686"/>
        <v>14</v>
      </c>
      <c r="D1112" s="21">
        <f t="shared" si="687"/>
        <v>10</v>
      </c>
      <c r="E1112" s="22">
        <f t="shared" si="688"/>
        <v>220.42584207351746</v>
      </c>
      <c r="F1112" s="21">
        <f t="shared" si="689"/>
        <v>2204.2584207351747</v>
      </c>
      <c r="G1112" s="24">
        <f>'DDS Rates for Amend'!CB21</f>
        <v>418.40650240931802</v>
      </c>
      <c r="H1112" s="33">
        <f t="shared" si="690"/>
        <v>922276.05622609146</v>
      </c>
      <c r="I1112" s="688"/>
      <c r="J1112" s="205"/>
    </row>
    <row r="1113" spans="1:12" x14ac:dyDescent="0.25">
      <c r="A1113" s="21">
        <f>A$19</f>
        <v>1962</v>
      </c>
      <c r="B1113" s="149">
        <f t="shared" si="685"/>
        <v>1.5527950310559006E-2</v>
      </c>
      <c r="C1113" s="20">
        <f t="shared" si="686"/>
        <v>15</v>
      </c>
      <c r="D1113" s="21">
        <f t="shared" si="687"/>
        <v>10</v>
      </c>
      <c r="E1113" s="22">
        <f t="shared" si="688"/>
        <v>216.89982377789391</v>
      </c>
      <c r="F1113" s="21">
        <f t="shared" si="689"/>
        <v>2168.9982377789393</v>
      </c>
      <c r="G1113" s="24">
        <f>'DDS Rates for Amend'!CB22</f>
        <v>429.28507147196029</v>
      </c>
      <c r="H1113" s="33">
        <f t="shared" si="690"/>
        <v>931118.56352748792</v>
      </c>
      <c r="I1113" s="689"/>
      <c r="J1113" s="205"/>
      <c r="K1113" s="285">
        <f>SUM(H1099:H1113)</f>
        <v>23302971.487514026</v>
      </c>
      <c r="L1113" s="17">
        <f>IF(K1113='Appendix J-2'!CD86,0,error)</f>
        <v>0</v>
      </c>
    </row>
    <row r="1114" spans="1:12" x14ac:dyDescent="0.25">
      <c r="C1114"/>
      <c r="I1114" s="568"/>
      <c r="J1114"/>
    </row>
    <row r="1115" spans="1:12" ht="15" customHeight="1" x14ac:dyDescent="0.25">
      <c r="A1115" s="271" t="s">
        <v>67</v>
      </c>
      <c r="B1115" s="272"/>
      <c r="C1115" s="272"/>
      <c r="D1115" s="292" t="str">
        <f>'Appendix J-2'!B87</f>
        <v>Assistance</v>
      </c>
      <c r="E1115" s="223" t="str">
        <f>'Appendix J-2'!C87</f>
        <v>1 day</v>
      </c>
      <c r="F1115" s="690"/>
      <c r="G1115" s="690"/>
      <c r="H1115" s="690"/>
      <c r="I1115" s="687" t="s">
        <v>1113</v>
      </c>
      <c r="J1115" s="205"/>
    </row>
    <row r="1116" spans="1:12" x14ac:dyDescent="0.25">
      <c r="A1116" s="147" t="s">
        <v>26</v>
      </c>
      <c r="B1116" s="147" t="s">
        <v>27</v>
      </c>
      <c r="C1116" s="146" t="s">
        <v>166</v>
      </c>
      <c r="D1116" s="91" t="s">
        <v>154</v>
      </c>
      <c r="E1116" s="89" t="s">
        <v>155</v>
      </c>
      <c r="F1116" s="34" t="s">
        <v>158</v>
      </c>
      <c r="G1116" s="35" t="s">
        <v>156</v>
      </c>
      <c r="H1116" s="51" t="s">
        <v>157</v>
      </c>
      <c r="I1116" s="688"/>
      <c r="J1116" s="205"/>
    </row>
    <row r="1117" spans="1:12" ht="15" customHeight="1" x14ac:dyDescent="0.25">
      <c r="A1117" s="21">
        <f>A$5</f>
        <v>1182</v>
      </c>
      <c r="B1117" s="148"/>
      <c r="C1117" s="144">
        <v>1</v>
      </c>
      <c r="D1117" s="247">
        <f>'Appendix J-2'!D87</f>
        <v>51</v>
      </c>
      <c r="E1117" s="22">
        <f>IF(F1117=0,0,F1117/D1117)</f>
        <v>183.52941176470588</v>
      </c>
      <c r="F1117" s="247">
        <f>'Appendix J-2'!F87</f>
        <v>9360</v>
      </c>
      <c r="G1117" s="24">
        <f>H1117/F1117</f>
        <v>475.36581196581199</v>
      </c>
      <c r="H1117" s="250">
        <f>'Appendix J-2'!H87</f>
        <v>4449424</v>
      </c>
      <c r="I1117" s="688"/>
      <c r="J1117" s="205"/>
    </row>
    <row r="1118" spans="1:12" x14ac:dyDescent="0.25">
      <c r="A1118" s="21">
        <f>A$6</f>
        <v>1288</v>
      </c>
      <c r="B1118" s="149">
        <f>(A1118-A1117)/A1117</f>
        <v>8.9678510998307953E-2</v>
      </c>
      <c r="C1118" s="52">
        <v>2</v>
      </c>
      <c r="D1118" s="247">
        <f>'Appendix J-2'!I87</f>
        <v>47</v>
      </c>
      <c r="E1118" s="22">
        <f t="shared" ref="E1118:E1125" si="691">IF(F1118=0,0,F1118/D1118)</f>
        <v>257.57446808510639</v>
      </c>
      <c r="F1118" s="247">
        <f>'Appendix J-2'!K87</f>
        <v>12106</v>
      </c>
      <c r="G1118" s="24">
        <f t="shared" ref="G1118:G1125" si="692">H1118/F1118</f>
        <v>470.47986452998509</v>
      </c>
      <c r="H1118" s="250">
        <f>'Appendix J-2'!M87</f>
        <v>5695629.2399999993</v>
      </c>
      <c r="I1118" s="688"/>
      <c r="J1118" s="205"/>
    </row>
    <row r="1119" spans="1:12" x14ac:dyDescent="0.25">
      <c r="A1119" s="21">
        <f>A$7</f>
        <v>1495</v>
      </c>
      <c r="B1119" s="149">
        <f t="shared" ref="B1119:B1131" si="693">(A1119-A1118)/A1118</f>
        <v>0.16071428571428573</v>
      </c>
      <c r="C1119" s="52">
        <v>3</v>
      </c>
      <c r="D1119" s="247">
        <f>'Appendix J-2'!N87</f>
        <v>64</v>
      </c>
      <c r="E1119" s="22">
        <f t="shared" si="691"/>
        <v>229.25</v>
      </c>
      <c r="F1119" s="247">
        <f>'Appendix J-2'!P87</f>
        <v>14672</v>
      </c>
      <c r="G1119" s="24">
        <f t="shared" si="692"/>
        <v>474.15789258451468</v>
      </c>
      <c r="H1119" s="248">
        <f>'Appendix J-2'!R87</f>
        <v>6956844.5999999996</v>
      </c>
      <c r="I1119" s="688"/>
      <c r="J1119" s="205"/>
    </row>
    <row r="1120" spans="1:12" x14ac:dyDescent="0.25">
      <c r="A1120" s="21">
        <f>A$8</f>
        <v>1484</v>
      </c>
      <c r="B1120" s="149">
        <f t="shared" si="693"/>
        <v>-7.3578595317725752E-3</v>
      </c>
      <c r="C1120" s="52">
        <f t="shared" ref="C1120:C1131" si="694">C1119+1</f>
        <v>4</v>
      </c>
      <c r="D1120" s="247">
        <f>'Appendix J-2'!S87</f>
        <v>44</v>
      </c>
      <c r="E1120" s="22">
        <f t="shared" si="691"/>
        <v>294.63636363636363</v>
      </c>
      <c r="F1120" s="247">
        <f>'Appendix J-2'!U87</f>
        <v>12964</v>
      </c>
      <c r="G1120" s="24">
        <f t="shared" si="692"/>
        <v>477.43443381672324</v>
      </c>
      <c r="H1120" s="248">
        <f>'Appendix J-2'!W87</f>
        <v>6189460</v>
      </c>
      <c r="I1120" s="688"/>
      <c r="J1120" s="205"/>
    </row>
    <row r="1121" spans="1:12" x14ac:dyDescent="0.25">
      <c r="A1121" s="21">
        <f>A$9</f>
        <v>1528</v>
      </c>
      <c r="B1121" s="149">
        <f t="shared" si="693"/>
        <v>2.9649595687331536E-2</v>
      </c>
      <c r="C1121" s="52">
        <f t="shared" si="694"/>
        <v>5</v>
      </c>
      <c r="D1121" s="247">
        <f>'Appendix J-2'!X87</f>
        <v>40</v>
      </c>
      <c r="E1121" s="22">
        <f t="shared" si="691"/>
        <v>236.95</v>
      </c>
      <c r="F1121" s="247">
        <f>'Appendix J-2'!Z87</f>
        <v>9478</v>
      </c>
      <c r="G1121" s="24">
        <f t="shared" si="692"/>
        <v>483.19656045579234</v>
      </c>
      <c r="H1121" s="248">
        <f>'Appendix J-2'!AB87</f>
        <v>4579737</v>
      </c>
      <c r="I1121" s="688"/>
      <c r="J1121" s="205"/>
    </row>
    <row r="1122" spans="1:12" x14ac:dyDescent="0.25">
      <c r="A1122" s="21">
        <f>A$10</f>
        <v>1592</v>
      </c>
      <c r="B1122" s="149">
        <f t="shared" si="693"/>
        <v>4.1884816753926704E-2</v>
      </c>
      <c r="C1122" s="20">
        <f t="shared" si="694"/>
        <v>6</v>
      </c>
      <c r="D1122" s="249">
        <f>'Appendix J-2'!AC87</f>
        <v>59</v>
      </c>
      <c r="E1122" s="22">
        <f t="shared" si="691"/>
        <v>154.01694915254237</v>
      </c>
      <c r="F1122" s="249">
        <f>'Appendix J-2'!AE87</f>
        <v>9087</v>
      </c>
      <c r="G1122" s="24">
        <f t="shared" si="692"/>
        <v>401.94794761747551</v>
      </c>
      <c r="H1122" s="248">
        <f>'Appendix J-2'!AG87</f>
        <v>3652501</v>
      </c>
      <c r="I1122" s="688"/>
      <c r="J1122" s="205"/>
    </row>
    <row r="1123" spans="1:12" x14ac:dyDescent="0.25">
      <c r="A1123" s="21">
        <f>A$11</f>
        <v>1642</v>
      </c>
      <c r="B1123" s="149">
        <f t="shared" si="693"/>
        <v>3.1407035175879394E-2</v>
      </c>
      <c r="C1123" s="20">
        <f t="shared" si="694"/>
        <v>7</v>
      </c>
      <c r="D1123" s="249">
        <f>'Appendix J-2'!AH87</f>
        <v>76</v>
      </c>
      <c r="E1123" s="22">
        <f t="shared" si="691"/>
        <v>156.55263157894737</v>
      </c>
      <c r="F1123" s="249">
        <f>'Appendix J-2'!AJ87</f>
        <v>11898</v>
      </c>
      <c r="G1123" s="24">
        <f t="shared" si="692"/>
        <v>405.03189695747182</v>
      </c>
      <c r="H1123" s="248">
        <f>'Appendix J-2'!AL87</f>
        <v>4819069.51</v>
      </c>
      <c r="I1123" s="688"/>
      <c r="J1123" s="205"/>
    </row>
    <row r="1124" spans="1:12" x14ac:dyDescent="0.25">
      <c r="A1124" s="21">
        <f>A$12</f>
        <v>1675</v>
      </c>
      <c r="B1124" s="149">
        <f t="shared" si="693"/>
        <v>2.0097442143727162E-2</v>
      </c>
      <c r="C1124" s="20">
        <f t="shared" si="694"/>
        <v>8</v>
      </c>
      <c r="D1124" s="249">
        <f>'Appendix J-2'!AM87</f>
        <v>51</v>
      </c>
      <c r="E1124" s="22">
        <f t="shared" si="691"/>
        <v>305</v>
      </c>
      <c r="F1124" s="249">
        <f>'Appendix J-2'!AO87</f>
        <v>15555</v>
      </c>
      <c r="G1124" s="24">
        <f t="shared" si="692"/>
        <v>434.26575249116041</v>
      </c>
      <c r="H1124" s="248">
        <f>'Appendix J-2'!AQ87</f>
        <v>6755003.7800000003</v>
      </c>
      <c r="I1124" s="688"/>
      <c r="J1124" s="205"/>
    </row>
    <row r="1125" spans="1:12" x14ac:dyDescent="0.25">
      <c r="A1125" s="21">
        <f>A$13</f>
        <v>1739</v>
      </c>
      <c r="B1125" s="149">
        <f t="shared" si="693"/>
        <v>3.8208955223880597E-2</v>
      </c>
      <c r="C1125" s="20">
        <f t="shared" si="694"/>
        <v>9</v>
      </c>
      <c r="D1125" s="249">
        <f>'Appendix J-2'!AR87</f>
        <v>51</v>
      </c>
      <c r="E1125" s="22">
        <f t="shared" si="691"/>
        <v>279.96078431372547</v>
      </c>
      <c r="F1125" s="249">
        <f>'Appendix J-2'!AT87</f>
        <v>14278</v>
      </c>
      <c r="G1125" s="24">
        <f t="shared" si="692"/>
        <v>429.80807816220761</v>
      </c>
      <c r="H1125" s="248">
        <f>'Appendix J-2'!AV87</f>
        <v>6136799.7400000002</v>
      </c>
      <c r="I1125" s="688"/>
      <c r="J1125" s="205"/>
    </row>
    <row r="1126" spans="1:12" x14ac:dyDescent="0.25">
      <c r="A1126" s="21">
        <f>A$14</f>
        <v>1752</v>
      </c>
      <c r="B1126" s="149">
        <f t="shared" si="693"/>
        <v>7.4755606670500289E-3</v>
      </c>
      <c r="C1126" s="20">
        <f t="shared" si="694"/>
        <v>10</v>
      </c>
      <c r="D1126" s="21">
        <f>ROUND(R1090,0)</f>
        <v>46</v>
      </c>
      <c r="E1126" s="22">
        <f>IF(TREND($E$1117:$E$1125,$C$1117:$C$1125,C1126)&lt;365,TREND($E$1117:$E$1125,$C$1117:$C$1125,C1126),365)</f>
        <v>253.21795105472393</v>
      </c>
      <c r="F1126" s="21">
        <f>D1126*E1126</f>
        <v>11648.025748517301</v>
      </c>
      <c r="G1126" s="24">
        <f>'DDS Rates for Amend'!CC17</f>
        <v>423.06</v>
      </c>
      <c r="H1126" s="33">
        <f>F1126*G1126</f>
        <v>4927813.7731677294</v>
      </c>
      <c r="I1126" s="688"/>
      <c r="J1126" s="205"/>
    </row>
    <row r="1127" spans="1:12" x14ac:dyDescent="0.25">
      <c r="A1127" s="21">
        <f>A$15</f>
        <v>1822</v>
      </c>
      <c r="B1127" s="149">
        <f t="shared" si="693"/>
        <v>3.9954337899543377E-2</v>
      </c>
      <c r="C1127" s="20">
        <f t="shared" si="694"/>
        <v>11</v>
      </c>
      <c r="D1127" s="21">
        <f t="shared" ref="D1127:D1131" si="695">ROUND(R1091,0)</f>
        <v>44</v>
      </c>
      <c r="E1127" s="22">
        <f t="shared" ref="E1127:E1131" si="696">IF(TREND($E$1117:$E$1125,$C$1117:$C$1125,C1127)&lt;365,TREND($E$1117:$E$1125,$C$1117:$C$1125,C1127),365)</f>
        <v>257.25108329830448</v>
      </c>
      <c r="F1127" s="21">
        <f t="shared" ref="F1127:F1131" si="697">D1127*E1127</f>
        <v>11319.047665125398</v>
      </c>
      <c r="G1127" s="24">
        <f>'DDS Rates for Amend'!CC18</f>
        <v>434.06</v>
      </c>
      <c r="H1127" s="33">
        <f t="shared" ref="H1127:H1131" si="698">F1127*G1127</f>
        <v>4913145.8295243299</v>
      </c>
      <c r="I1127" s="688"/>
      <c r="J1127" s="205"/>
    </row>
    <row r="1128" spans="1:12" x14ac:dyDescent="0.25">
      <c r="A1128" s="21">
        <f>A$16</f>
        <v>1872</v>
      </c>
      <c r="B1128" s="149">
        <f t="shared" si="693"/>
        <v>2.7442371020856202E-2</v>
      </c>
      <c r="C1128" s="20">
        <f t="shared" si="694"/>
        <v>12</v>
      </c>
      <c r="D1128" s="21">
        <f t="shared" si="695"/>
        <v>44</v>
      </c>
      <c r="E1128" s="22">
        <f t="shared" si="696"/>
        <v>261.28421554188503</v>
      </c>
      <c r="F1128" s="21">
        <f t="shared" si="697"/>
        <v>11496.505483842942</v>
      </c>
      <c r="G1128" s="24">
        <f>'DDS Rates for Amend'!CC19</f>
        <v>445.34555999999998</v>
      </c>
      <c r="H1128" s="33">
        <f t="shared" si="698"/>
        <v>5119917.6727451058</v>
      </c>
      <c r="I1128" s="688"/>
      <c r="J1128" s="205"/>
    </row>
    <row r="1129" spans="1:12" x14ac:dyDescent="0.25">
      <c r="A1129" s="21">
        <f>A$17</f>
        <v>1902</v>
      </c>
      <c r="B1129" s="149">
        <f t="shared" si="693"/>
        <v>1.6025641025641024E-2</v>
      </c>
      <c r="C1129" s="20">
        <f t="shared" si="694"/>
        <v>13</v>
      </c>
      <c r="D1129" s="21">
        <f t="shared" si="695"/>
        <v>43</v>
      </c>
      <c r="E1129" s="22">
        <f t="shared" si="696"/>
        <v>265.31734778546559</v>
      </c>
      <c r="F1129" s="21">
        <f t="shared" si="697"/>
        <v>11408.64595477502</v>
      </c>
      <c r="G1129" s="24">
        <f>'DDS Rates for Amend'!CC20</f>
        <v>456.92454455999996</v>
      </c>
      <c r="H1129" s="33">
        <f t="shared" si="698"/>
        <v>5212890.3569318615</v>
      </c>
      <c r="I1129" s="688"/>
      <c r="J1129" s="205"/>
    </row>
    <row r="1130" spans="1:12" x14ac:dyDescent="0.25">
      <c r="A1130" s="21">
        <f>A$18</f>
        <v>1932</v>
      </c>
      <c r="B1130" s="149">
        <f t="shared" si="693"/>
        <v>1.5772870662460567E-2</v>
      </c>
      <c r="C1130" s="20">
        <f t="shared" si="694"/>
        <v>14</v>
      </c>
      <c r="D1130" s="21">
        <f t="shared" si="695"/>
        <v>43</v>
      </c>
      <c r="E1130" s="22">
        <f t="shared" si="696"/>
        <v>269.35048002904614</v>
      </c>
      <c r="F1130" s="21">
        <f t="shared" si="697"/>
        <v>11582.070641248984</v>
      </c>
      <c r="G1130" s="24">
        <f>'DDS Rates for Amend'!CC21</f>
        <v>468.80458271855997</v>
      </c>
      <c r="H1130" s="33">
        <f t="shared" si="698"/>
        <v>5429727.7939876141</v>
      </c>
      <c r="I1130" s="688"/>
      <c r="J1130" s="205"/>
    </row>
    <row r="1131" spans="1:12" x14ac:dyDescent="0.25">
      <c r="A1131" s="21">
        <f>A$19</f>
        <v>1962</v>
      </c>
      <c r="B1131" s="149">
        <f t="shared" si="693"/>
        <v>1.5527950310559006E-2</v>
      </c>
      <c r="C1131" s="20">
        <f t="shared" si="694"/>
        <v>15</v>
      </c>
      <c r="D1131" s="21">
        <f t="shared" si="695"/>
        <v>42</v>
      </c>
      <c r="E1131" s="22">
        <f t="shared" si="696"/>
        <v>273.38361227262669</v>
      </c>
      <c r="F1131" s="21">
        <f t="shared" si="697"/>
        <v>11482.111715450321</v>
      </c>
      <c r="G1131" s="24">
        <f>'DDS Rates for Amend'!CC22</f>
        <v>480.99350186924255</v>
      </c>
      <c r="H1131" s="33">
        <f t="shared" si="698"/>
        <v>5522821.122868306</v>
      </c>
      <c r="I1131" s="689"/>
      <c r="J1131" s="205"/>
      <c r="K1131" s="285">
        <f>SUM(H1117:H1131)</f>
        <v>80360785.419224948</v>
      </c>
      <c r="L1131" s="17">
        <f>IF(K1131='Appendix J-2'!CD87,0,error)</f>
        <v>0</v>
      </c>
    </row>
    <row r="1132" spans="1:12" x14ac:dyDescent="0.25">
      <c r="A1132" s="337"/>
      <c r="C1132"/>
      <c r="I1132" s="544"/>
      <c r="J1132"/>
    </row>
    <row r="1133" spans="1:12" ht="15" customHeight="1" x14ac:dyDescent="0.25">
      <c r="A1133" s="271" t="s">
        <v>68</v>
      </c>
      <c r="B1133" s="272"/>
      <c r="C1133" s="272"/>
      <c r="D1133" s="292" t="str">
        <f>'Appendix J-2'!B82</f>
        <v>Assistance</v>
      </c>
      <c r="E1133" s="223" t="str">
        <f>'Appendix J-2'!C88</f>
        <v>1 day</v>
      </c>
      <c r="F1133" s="690"/>
      <c r="G1133" s="690"/>
      <c r="H1133" s="690"/>
      <c r="I1133" s="687" t="s">
        <v>1113</v>
      </c>
      <c r="J1133" s="205"/>
    </row>
    <row r="1134" spans="1:12" x14ac:dyDescent="0.25">
      <c r="A1134" s="147" t="s">
        <v>26</v>
      </c>
      <c r="B1134" s="147" t="s">
        <v>27</v>
      </c>
      <c r="C1134" s="50" t="s">
        <v>166</v>
      </c>
      <c r="D1134" s="91" t="s">
        <v>154</v>
      </c>
      <c r="E1134" s="89" t="s">
        <v>155</v>
      </c>
      <c r="F1134" s="34" t="s">
        <v>158</v>
      </c>
      <c r="G1134" s="35" t="s">
        <v>156</v>
      </c>
      <c r="H1134" s="51" t="s">
        <v>157</v>
      </c>
      <c r="I1134" s="688"/>
      <c r="J1134" s="205"/>
    </row>
    <row r="1135" spans="1:12" ht="15" customHeight="1" x14ac:dyDescent="0.25">
      <c r="A1135" s="21">
        <f>A$5</f>
        <v>1182</v>
      </c>
      <c r="B1135" s="148"/>
      <c r="C1135" s="144">
        <v>1</v>
      </c>
      <c r="D1135" s="247">
        <f>'Appendix J-2'!D88</f>
        <v>26</v>
      </c>
      <c r="E1135" s="22">
        <f>IF(F1135=0,0,F1135/D1135)</f>
        <v>184.69230769230768</v>
      </c>
      <c r="F1135" s="247">
        <f>'Appendix J-2'!F88</f>
        <v>4802</v>
      </c>
      <c r="G1135" s="24">
        <f>H1135/F1135</f>
        <v>559.66159933361098</v>
      </c>
      <c r="H1135" s="250">
        <f>'Appendix J-2'!H88</f>
        <v>2687495</v>
      </c>
      <c r="I1135" s="688"/>
      <c r="J1135" s="205"/>
    </row>
    <row r="1136" spans="1:12" x14ac:dyDescent="0.25">
      <c r="A1136" s="21">
        <f>A$6</f>
        <v>1288</v>
      </c>
      <c r="B1136" s="149">
        <f>(A1136-A1135)/A1135</f>
        <v>8.9678510998307953E-2</v>
      </c>
      <c r="C1136" s="52">
        <v>2</v>
      </c>
      <c r="D1136" s="247">
        <f>'Appendix J-2'!I88</f>
        <v>23</v>
      </c>
      <c r="E1136" s="22">
        <f t="shared" ref="E1136:E1143" si="699">IF(F1136=0,0,F1136/D1136)</f>
        <v>221.39130434782609</v>
      </c>
      <c r="F1136" s="247">
        <f>'Appendix J-2'!K88</f>
        <v>5092</v>
      </c>
      <c r="G1136" s="24">
        <f t="shared" ref="G1136:G1143" si="700">H1136/F1136</f>
        <v>554.55239591516101</v>
      </c>
      <c r="H1136" s="250">
        <f>'Appendix J-2'!M88</f>
        <v>2823780.8</v>
      </c>
      <c r="I1136" s="688"/>
      <c r="J1136" s="205"/>
    </row>
    <row r="1137" spans="1:12" x14ac:dyDescent="0.25">
      <c r="A1137" s="21">
        <f>A$7</f>
        <v>1495</v>
      </c>
      <c r="B1137" s="149">
        <f t="shared" ref="B1137:B1149" si="701">(A1137-A1136)/A1136</f>
        <v>0.16071428571428573</v>
      </c>
      <c r="C1137" s="52">
        <v>3</v>
      </c>
      <c r="D1137" s="247">
        <f>'Appendix J-2'!N88</f>
        <v>15</v>
      </c>
      <c r="E1137" s="22">
        <f t="shared" si="699"/>
        <v>143.4</v>
      </c>
      <c r="F1137" s="247">
        <f>'Appendix J-2'!P88</f>
        <v>2151</v>
      </c>
      <c r="G1137" s="24">
        <f t="shared" si="700"/>
        <v>459.59811715481175</v>
      </c>
      <c r="H1137" s="248">
        <f>'Appendix J-2'!R88</f>
        <v>988595.55</v>
      </c>
      <c r="I1137" s="688"/>
      <c r="J1137" s="205"/>
    </row>
    <row r="1138" spans="1:12" x14ac:dyDescent="0.25">
      <c r="A1138" s="21">
        <f>A$8</f>
        <v>1484</v>
      </c>
      <c r="B1138" s="149">
        <f t="shared" si="701"/>
        <v>-7.3578595317725752E-3</v>
      </c>
      <c r="C1138" s="52">
        <f t="shared" ref="C1138:C1149" si="702">C1137+1</f>
        <v>4</v>
      </c>
      <c r="D1138" s="247">
        <f>'Appendix J-2'!S88</f>
        <v>12</v>
      </c>
      <c r="E1138" s="22">
        <f t="shared" si="699"/>
        <v>150.33333333333334</v>
      </c>
      <c r="F1138" s="247">
        <f>'Appendix J-2'!U88</f>
        <v>1804</v>
      </c>
      <c r="G1138" s="24">
        <f t="shared" si="700"/>
        <v>429.82601995565409</v>
      </c>
      <c r="H1138" s="248">
        <f>'Appendix J-2'!W88</f>
        <v>775406.14</v>
      </c>
      <c r="I1138" s="688"/>
      <c r="J1138" s="205"/>
    </row>
    <row r="1139" spans="1:12" x14ac:dyDescent="0.25">
      <c r="A1139" s="21">
        <f>A$9</f>
        <v>1528</v>
      </c>
      <c r="B1139" s="149">
        <f t="shared" si="701"/>
        <v>2.9649595687331536E-2</v>
      </c>
      <c r="C1139" s="52">
        <f t="shared" si="702"/>
        <v>5</v>
      </c>
      <c r="D1139" s="247">
        <f>'Appendix J-2'!X88</f>
        <v>9</v>
      </c>
      <c r="E1139" s="22">
        <f t="shared" si="699"/>
        <v>155.22222222222223</v>
      </c>
      <c r="F1139" s="247">
        <f>'Appendix J-2'!Z88</f>
        <v>1397</v>
      </c>
      <c r="G1139" s="24">
        <f t="shared" si="700"/>
        <v>560.94130279169644</v>
      </c>
      <c r="H1139" s="248">
        <f>'Appendix J-2'!AB88</f>
        <v>783635</v>
      </c>
      <c r="I1139" s="688"/>
      <c r="J1139" s="205"/>
    </row>
    <row r="1140" spans="1:12" x14ac:dyDescent="0.25">
      <c r="A1140" s="21">
        <f>A$10</f>
        <v>1592</v>
      </c>
      <c r="B1140" s="149">
        <f t="shared" si="701"/>
        <v>4.1884816753926704E-2</v>
      </c>
      <c r="C1140" s="52">
        <f t="shared" si="702"/>
        <v>6</v>
      </c>
      <c r="D1140" s="249">
        <f>'Appendix J-2'!AC88</f>
        <v>21</v>
      </c>
      <c r="E1140" s="22">
        <f t="shared" si="699"/>
        <v>142.28571428571428</v>
      </c>
      <c r="F1140" s="249">
        <f>'Appendix J-2'!AE88</f>
        <v>2988</v>
      </c>
      <c r="G1140" s="24">
        <f t="shared" si="700"/>
        <v>494.82463186077644</v>
      </c>
      <c r="H1140" s="248">
        <f>'Appendix J-2'!AG88</f>
        <v>1478536</v>
      </c>
      <c r="I1140" s="688"/>
      <c r="J1140" s="205"/>
    </row>
    <row r="1141" spans="1:12" x14ac:dyDescent="0.25">
      <c r="A1141" s="21">
        <f>A$11</f>
        <v>1642</v>
      </c>
      <c r="B1141" s="149">
        <f t="shared" si="701"/>
        <v>3.1407035175879394E-2</v>
      </c>
      <c r="C1141" s="20">
        <f t="shared" si="702"/>
        <v>7</v>
      </c>
      <c r="D1141" s="249">
        <f>'Appendix J-2'!AH88</f>
        <v>26</v>
      </c>
      <c r="E1141" s="22">
        <f t="shared" si="699"/>
        <v>137.15384615384616</v>
      </c>
      <c r="F1141" s="249">
        <f>'Appendix J-2'!AJ88</f>
        <v>3566</v>
      </c>
      <c r="G1141" s="24">
        <f t="shared" si="700"/>
        <v>495.91657038698821</v>
      </c>
      <c r="H1141" s="248">
        <f>'Appendix J-2'!AL88</f>
        <v>1768438.49</v>
      </c>
      <c r="I1141" s="688"/>
      <c r="J1141" s="205"/>
    </row>
    <row r="1142" spans="1:12" x14ac:dyDescent="0.25">
      <c r="A1142" s="21">
        <f>A$12</f>
        <v>1675</v>
      </c>
      <c r="B1142" s="149">
        <f t="shared" si="701"/>
        <v>2.0097442143727162E-2</v>
      </c>
      <c r="C1142" s="20">
        <f t="shared" si="702"/>
        <v>8</v>
      </c>
      <c r="D1142" s="249">
        <f>'Appendix J-2'!AM88</f>
        <v>10</v>
      </c>
      <c r="E1142" s="22">
        <f t="shared" si="699"/>
        <v>313.7</v>
      </c>
      <c r="F1142" s="249">
        <f>'Appendix J-2'!AO88</f>
        <v>3137</v>
      </c>
      <c r="G1142" s="24">
        <f t="shared" si="700"/>
        <v>560.43047816385081</v>
      </c>
      <c r="H1142" s="248">
        <f>'Appendix J-2'!AQ88</f>
        <v>1758070.41</v>
      </c>
      <c r="I1142" s="688"/>
      <c r="J1142" s="205"/>
    </row>
    <row r="1143" spans="1:12" x14ac:dyDescent="0.25">
      <c r="A1143" s="21">
        <f>A$13</f>
        <v>1739</v>
      </c>
      <c r="B1143" s="149">
        <f t="shared" si="701"/>
        <v>3.8208955223880597E-2</v>
      </c>
      <c r="C1143" s="20">
        <f t="shared" si="702"/>
        <v>9</v>
      </c>
      <c r="D1143" s="249">
        <f>'Appendix J-2'!AR88</f>
        <v>15</v>
      </c>
      <c r="E1143" s="22">
        <f t="shared" si="699"/>
        <v>223.53333333333333</v>
      </c>
      <c r="F1143" s="249">
        <f>'Appendix J-2'!AT88</f>
        <v>3353</v>
      </c>
      <c r="G1143" s="24">
        <f t="shared" si="700"/>
        <v>541.32469728601257</v>
      </c>
      <c r="H1143" s="248">
        <f>'Appendix J-2'!AV88</f>
        <v>1815061.71</v>
      </c>
      <c r="I1143" s="688"/>
      <c r="J1143" s="205"/>
    </row>
    <row r="1144" spans="1:12" x14ac:dyDescent="0.25">
      <c r="A1144" s="21">
        <f>A$14</f>
        <v>1752</v>
      </c>
      <c r="B1144" s="149">
        <f t="shared" si="701"/>
        <v>7.4755606670500289E-3</v>
      </c>
      <c r="C1144" s="20">
        <f t="shared" si="702"/>
        <v>10</v>
      </c>
      <c r="D1144" s="21">
        <f>ROUND(S1090,0)</f>
        <v>12</v>
      </c>
      <c r="E1144" s="22">
        <f>IF(TREND($E$1135:$E$1143,$C$1135:$C$1143,C1144)&lt;365,TREND($E$1135:$E$1143,$C$1135:$C$1143,C1144),365)</f>
        <v>220.05830649490071</v>
      </c>
      <c r="F1144" s="21">
        <f>D1144*E1144</f>
        <v>2640.6996779388082</v>
      </c>
      <c r="G1144" s="24">
        <f>'DDS Rates for Amend'!CD17</f>
        <v>514.51</v>
      </c>
      <c r="H1144" s="33">
        <f>F1144*G1144</f>
        <v>1358666.3912962961</v>
      </c>
      <c r="I1144" s="688"/>
      <c r="J1144" s="205"/>
    </row>
    <row r="1145" spans="1:12" x14ac:dyDescent="0.25">
      <c r="A1145" s="21">
        <f>A$15</f>
        <v>1822</v>
      </c>
      <c r="B1145" s="149">
        <f t="shared" si="701"/>
        <v>3.9954337899543377E-2</v>
      </c>
      <c r="C1145" s="20">
        <f t="shared" si="702"/>
        <v>11</v>
      </c>
      <c r="D1145" s="21">
        <f t="shared" ref="D1145:D1149" si="703">ROUND(S1091,0)</f>
        <v>12</v>
      </c>
      <c r="E1145" s="22">
        <f t="shared" ref="E1145:E1149" si="704">IF(TREND($E$1135:$E$1143,$C$1135:$C$1143,C1145)&lt;365,TREND($E$1135:$E$1143,$C$1135:$C$1143,C1145),365)</f>
        <v>226.92081087457899</v>
      </c>
      <c r="F1145" s="21">
        <f t="shared" ref="F1145:F1149" si="705">D1145*E1145</f>
        <v>2723.0497304949477</v>
      </c>
      <c r="G1145" s="24">
        <f>'DDS Rates for Amend'!CD18</f>
        <v>527.89</v>
      </c>
      <c r="H1145" s="33">
        <f t="shared" ref="H1145:H1149" si="706">F1145*G1145</f>
        <v>1437470.7222309778</v>
      </c>
      <c r="I1145" s="688"/>
      <c r="J1145" s="205"/>
    </row>
    <row r="1146" spans="1:12" x14ac:dyDescent="0.25">
      <c r="A1146" s="21">
        <f>A$16</f>
        <v>1872</v>
      </c>
      <c r="B1146" s="149">
        <f t="shared" si="701"/>
        <v>2.7442371020856202E-2</v>
      </c>
      <c r="C1146" s="20">
        <f t="shared" si="702"/>
        <v>12</v>
      </c>
      <c r="D1146" s="21">
        <f t="shared" si="703"/>
        <v>12</v>
      </c>
      <c r="E1146" s="22">
        <f t="shared" si="704"/>
        <v>233.78331525425727</v>
      </c>
      <c r="F1146" s="21">
        <f t="shared" si="705"/>
        <v>2805.3997830510871</v>
      </c>
      <c r="G1146" s="24">
        <f>'DDS Rates for Amend'!CD19</f>
        <v>541.61514</v>
      </c>
      <c r="H1146" s="33">
        <f t="shared" si="706"/>
        <v>1519446.996253184</v>
      </c>
      <c r="I1146" s="688"/>
      <c r="J1146" s="205"/>
    </row>
    <row r="1147" spans="1:12" x14ac:dyDescent="0.25">
      <c r="A1147" s="21">
        <f>A$17</f>
        <v>1902</v>
      </c>
      <c r="B1147" s="149">
        <f t="shared" si="701"/>
        <v>1.6025641025641024E-2</v>
      </c>
      <c r="C1147" s="20">
        <f t="shared" si="702"/>
        <v>13</v>
      </c>
      <c r="D1147" s="21">
        <f t="shared" si="703"/>
        <v>12</v>
      </c>
      <c r="E1147" s="22">
        <f t="shared" si="704"/>
        <v>240.64581963393556</v>
      </c>
      <c r="F1147" s="21">
        <f t="shared" si="705"/>
        <v>2887.7498356072265</v>
      </c>
      <c r="G1147" s="24">
        <f>'DDS Rates for Amend'!CD20</f>
        <v>555.69713363999995</v>
      </c>
      <c r="H1147" s="33">
        <f t="shared" si="706"/>
        <v>1604714.3063163168</v>
      </c>
      <c r="I1147" s="688"/>
      <c r="J1147" s="205"/>
    </row>
    <row r="1148" spans="1:12" x14ac:dyDescent="0.25">
      <c r="A1148" s="21">
        <f>A$18</f>
        <v>1932</v>
      </c>
      <c r="B1148" s="149">
        <f t="shared" si="701"/>
        <v>1.5772870662460567E-2</v>
      </c>
      <c r="C1148" s="20">
        <f t="shared" si="702"/>
        <v>14</v>
      </c>
      <c r="D1148" s="21">
        <f t="shared" si="703"/>
        <v>11</v>
      </c>
      <c r="E1148" s="22">
        <f t="shared" si="704"/>
        <v>247.50832401361384</v>
      </c>
      <c r="F1148" s="21">
        <f t="shared" si="705"/>
        <v>2722.5915641497522</v>
      </c>
      <c r="G1148" s="24">
        <f>'DDS Rates for Amend'!CD21</f>
        <v>570.14525911464</v>
      </c>
      <c r="H1148" s="33">
        <f t="shared" si="706"/>
        <v>1552272.6728054935</v>
      </c>
      <c r="I1148" s="688"/>
      <c r="J1148" s="205"/>
    </row>
    <row r="1149" spans="1:12" x14ac:dyDescent="0.25">
      <c r="A1149" s="21">
        <f>A$19</f>
        <v>1962</v>
      </c>
      <c r="B1149" s="149">
        <f t="shared" si="701"/>
        <v>1.5527950310559006E-2</v>
      </c>
      <c r="C1149" s="20">
        <f t="shared" si="702"/>
        <v>15</v>
      </c>
      <c r="D1149" s="21">
        <f t="shared" si="703"/>
        <v>11</v>
      </c>
      <c r="E1149" s="22">
        <f t="shared" si="704"/>
        <v>254.37082839329216</v>
      </c>
      <c r="F1149" s="21">
        <f t="shared" si="705"/>
        <v>2798.0791123262138</v>
      </c>
      <c r="G1149" s="24">
        <f>'DDS Rates for Amend'!CD22</f>
        <v>584.96903585162067</v>
      </c>
      <c r="H1149" s="33">
        <f t="shared" si="706"/>
        <v>1636789.6405740238</v>
      </c>
      <c r="I1149" s="689"/>
      <c r="J1149" s="205"/>
      <c r="K1149" s="285">
        <f>SUM(H1135:H1149)</f>
        <v>23988379.829476286</v>
      </c>
      <c r="L1149" s="17">
        <f>IF(K1149='Appendix J-2'!CD88,0,error)</f>
        <v>0</v>
      </c>
    </row>
    <row r="1150" spans="1:12" x14ac:dyDescent="0.25">
      <c r="C1150"/>
      <c r="I1150" s="544"/>
      <c r="J1150"/>
    </row>
    <row r="1151" spans="1:12" ht="15" customHeight="1" x14ac:dyDescent="0.25">
      <c r="A1151" s="271" t="s">
        <v>69</v>
      </c>
      <c r="B1151" s="272"/>
      <c r="C1151" s="272"/>
      <c r="D1151" s="292" t="str">
        <f>'Appendix J-2'!B90</f>
        <v>Assistance</v>
      </c>
      <c r="E1151" s="223" t="str">
        <f>'Appendix J-2'!C85</f>
        <v>1 day</v>
      </c>
      <c r="F1151" s="690"/>
      <c r="G1151" s="690"/>
      <c r="H1151" s="690"/>
      <c r="I1151" s="687" t="s">
        <v>1113</v>
      </c>
      <c r="J1151" s="205"/>
    </row>
    <row r="1152" spans="1:12" x14ac:dyDescent="0.25">
      <c r="A1152" s="147" t="s">
        <v>26</v>
      </c>
      <c r="B1152" s="147" t="s">
        <v>27</v>
      </c>
      <c r="C1152" s="50" t="s">
        <v>166</v>
      </c>
      <c r="D1152" s="91" t="s">
        <v>154</v>
      </c>
      <c r="E1152" s="89" t="s">
        <v>155</v>
      </c>
      <c r="F1152" s="34" t="s">
        <v>158</v>
      </c>
      <c r="G1152" s="35" t="s">
        <v>156</v>
      </c>
      <c r="H1152" s="51" t="s">
        <v>157</v>
      </c>
      <c r="I1152" s="688"/>
      <c r="J1152" s="205"/>
    </row>
    <row r="1153" spans="1:12" ht="15" customHeight="1" x14ac:dyDescent="0.25">
      <c r="A1153" s="21">
        <f>A$5</f>
        <v>1182</v>
      </c>
      <c r="B1153" s="148"/>
      <c r="C1153" s="144">
        <v>1</v>
      </c>
      <c r="D1153" s="247">
        <f>'Appendix J-2'!D90</f>
        <v>27</v>
      </c>
      <c r="E1153" s="22">
        <f>IF(F1153=0,0,F1153/D1153)</f>
        <v>310.88888888888891</v>
      </c>
      <c r="F1153" s="247">
        <f>'Appendix J-2'!F90</f>
        <v>8394</v>
      </c>
      <c r="G1153" s="24">
        <f>H1153/F1153</f>
        <v>272</v>
      </c>
      <c r="H1153" s="250">
        <f>'Appendix J-2'!H90</f>
        <v>2283168</v>
      </c>
      <c r="I1153" s="688"/>
      <c r="J1153" s="205"/>
    </row>
    <row r="1154" spans="1:12" x14ac:dyDescent="0.25">
      <c r="A1154" s="21">
        <f>A$6</f>
        <v>1288</v>
      </c>
      <c r="B1154" s="149">
        <f>(A1154-A1153)/A1153</f>
        <v>8.9678510998307953E-2</v>
      </c>
      <c r="C1154" s="52">
        <v>2</v>
      </c>
      <c r="D1154" s="247">
        <f>'Appendix J-2'!I90</f>
        <v>34</v>
      </c>
      <c r="E1154" s="22">
        <f t="shared" ref="E1154:E1161" si="707">IF(F1154=0,0,F1154/D1154)</f>
        <v>306.94117647058823</v>
      </c>
      <c r="F1154" s="247">
        <f>'Appendix J-2'!K90</f>
        <v>10436</v>
      </c>
      <c r="G1154" s="24">
        <f t="shared" ref="G1154:G1161" si="708">H1154/F1154</f>
        <v>272.39095438865468</v>
      </c>
      <c r="H1154" s="250">
        <f>+'Appendix J-2'!M90</f>
        <v>2842672</v>
      </c>
      <c r="I1154" s="688"/>
      <c r="J1154" s="205"/>
    </row>
    <row r="1155" spans="1:12" x14ac:dyDescent="0.25">
      <c r="A1155" s="21">
        <f>A$7</f>
        <v>1495</v>
      </c>
      <c r="B1155" s="149">
        <f t="shared" ref="B1155:B1167" si="709">(A1155-A1154)/A1154</f>
        <v>0.16071428571428573</v>
      </c>
      <c r="C1155" s="52">
        <v>3</v>
      </c>
      <c r="D1155" s="247">
        <f>'Appendix J-2'!N90</f>
        <v>46</v>
      </c>
      <c r="E1155" s="22">
        <f t="shared" si="707"/>
        <v>295.73913043478262</v>
      </c>
      <c r="F1155" s="247">
        <f>'Appendix J-2'!P90</f>
        <v>13604</v>
      </c>
      <c r="G1155" s="24">
        <f t="shared" si="708"/>
        <v>272</v>
      </c>
      <c r="H1155" s="248">
        <f>+'Appendix J-2'!R90</f>
        <v>3700288</v>
      </c>
      <c r="I1155" s="688"/>
      <c r="J1155" s="205"/>
    </row>
    <row r="1156" spans="1:12" x14ac:dyDescent="0.25">
      <c r="A1156" s="21">
        <f>A$8</f>
        <v>1484</v>
      </c>
      <c r="B1156" s="149">
        <f t="shared" si="709"/>
        <v>-7.3578595317725752E-3</v>
      </c>
      <c r="C1156" s="52">
        <f t="shared" ref="C1156:C1167" si="710">C1155+1</f>
        <v>4</v>
      </c>
      <c r="D1156" s="247">
        <f>'Appendix J-2'!S90</f>
        <v>62</v>
      </c>
      <c r="E1156" s="22">
        <f t="shared" si="707"/>
        <v>243.96774193548387</v>
      </c>
      <c r="F1156" s="247">
        <f>'Appendix J-2'!U90</f>
        <v>15126</v>
      </c>
      <c r="G1156" s="24">
        <f t="shared" si="708"/>
        <v>271.99986777733704</v>
      </c>
      <c r="H1156" s="248">
        <f>'Appendix J-2'!W90</f>
        <v>4114270</v>
      </c>
      <c r="I1156" s="688"/>
      <c r="J1156" s="205"/>
    </row>
    <row r="1157" spans="1:12" x14ac:dyDescent="0.25">
      <c r="A1157" s="21">
        <f>A$9</f>
        <v>1528</v>
      </c>
      <c r="B1157" s="149">
        <f t="shared" si="709"/>
        <v>2.9649595687331536E-2</v>
      </c>
      <c r="C1157" s="52">
        <f t="shared" si="710"/>
        <v>5</v>
      </c>
      <c r="D1157" s="247">
        <f>'Appendix J-2'!X90</f>
        <v>51</v>
      </c>
      <c r="E1157" s="22">
        <f t="shared" si="707"/>
        <v>307.88235294117646</v>
      </c>
      <c r="F1157" s="247">
        <f>'Appendix J-2'!Z90</f>
        <v>15702</v>
      </c>
      <c r="G1157" s="24">
        <f t="shared" si="708"/>
        <v>271.98267736594062</v>
      </c>
      <c r="H1157" s="248">
        <f>'Appendix J-2'!AB90</f>
        <v>4270672</v>
      </c>
      <c r="I1157" s="688"/>
      <c r="J1157" s="205"/>
    </row>
    <row r="1158" spans="1:12" x14ac:dyDescent="0.25">
      <c r="A1158" s="21">
        <f>A$10</f>
        <v>1592</v>
      </c>
      <c r="B1158" s="149">
        <f t="shared" si="709"/>
        <v>4.1884816753926704E-2</v>
      </c>
      <c r="C1158" s="20">
        <f t="shared" si="710"/>
        <v>6</v>
      </c>
      <c r="D1158" s="249">
        <f>'Appendix J-2'!AC90</f>
        <v>94</v>
      </c>
      <c r="E1158" s="22">
        <f t="shared" si="707"/>
        <v>156.97872340425531</v>
      </c>
      <c r="F1158" s="249">
        <f>'Appendix J-2'!AE90</f>
        <v>14756</v>
      </c>
      <c r="G1158" s="24">
        <f t="shared" si="708"/>
        <v>280.42653835727839</v>
      </c>
      <c r="H1158" s="248">
        <f>'Appendix J-2'!AG90</f>
        <v>4137974</v>
      </c>
      <c r="I1158" s="688"/>
      <c r="J1158" s="205"/>
    </row>
    <row r="1159" spans="1:12" x14ac:dyDescent="0.25">
      <c r="A1159" s="21">
        <f>A$11</f>
        <v>1642</v>
      </c>
      <c r="B1159" s="149">
        <f t="shared" si="709"/>
        <v>3.1407035175879394E-2</v>
      </c>
      <c r="C1159" s="20">
        <f t="shared" si="710"/>
        <v>7</v>
      </c>
      <c r="D1159" s="249">
        <f>'Appendix J-2'!AH90</f>
        <v>86</v>
      </c>
      <c r="E1159" s="22">
        <f t="shared" si="707"/>
        <v>180.90697674418604</v>
      </c>
      <c r="F1159" s="249">
        <f>'Appendix J-2'!AJ90</f>
        <v>15558</v>
      </c>
      <c r="G1159" s="24">
        <f t="shared" si="708"/>
        <v>284.11591142820413</v>
      </c>
      <c r="H1159" s="248">
        <f>'Appendix J-2'!AL90</f>
        <v>4420275.3499999996</v>
      </c>
      <c r="I1159" s="688"/>
      <c r="J1159" s="205"/>
    </row>
    <row r="1160" spans="1:12" x14ac:dyDescent="0.25">
      <c r="A1160" s="21">
        <f>A$12</f>
        <v>1675</v>
      </c>
      <c r="B1160" s="149">
        <f t="shared" si="709"/>
        <v>2.0097442143727162E-2</v>
      </c>
      <c r="C1160" s="20">
        <f t="shared" si="710"/>
        <v>8</v>
      </c>
      <c r="D1160" s="249">
        <f>'Appendix J-2'!AM90</f>
        <v>42</v>
      </c>
      <c r="E1160" s="22">
        <f t="shared" si="707"/>
        <v>250.0952380952381</v>
      </c>
      <c r="F1160" s="249">
        <f>'Appendix J-2'!AO90</f>
        <v>10504</v>
      </c>
      <c r="G1160" s="24">
        <f t="shared" si="708"/>
        <v>301.55531226199543</v>
      </c>
      <c r="H1160" s="248">
        <f>'Appendix J-2'!AQ90</f>
        <v>3167537</v>
      </c>
      <c r="I1160" s="688"/>
      <c r="J1160" s="205"/>
    </row>
    <row r="1161" spans="1:12" x14ac:dyDescent="0.25">
      <c r="A1161" s="21">
        <f>A$13</f>
        <v>1739</v>
      </c>
      <c r="B1161" s="149">
        <f t="shared" si="709"/>
        <v>3.8208955223880597E-2</v>
      </c>
      <c r="C1161" s="20">
        <f t="shared" si="710"/>
        <v>9</v>
      </c>
      <c r="D1161" s="249">
        <f>'Appendix J-2'!AR90</f>
        <v>24</v>
      </c>
      <c r="E1161" s="22">
        <f t="shared" si="707"/>
        <v>225.16666666666666</v>
      </c>
      <c r="F1161" s="249">
        <f>'Appendix J-2'!AT90</f>
        <v>5404</v>
      </c>
      <c r="G1161" s="24">
        <f t="shared" si="708"/>
        <v>298.8636528497409</v>
      </c>
      <c r="H1161" s="248">
        <f>'Appendix J-2'!AV90</f>
        <v>1615059.18</v>
      </c>
      <c r="I1161" s="688"/>
      <c r="J1161" s="205"/>
    </row>
    <row r="1162" spans="1:12" x14ac:dyDescent="0.25">
      <c r="A1162" s="21">
        <f>A$14</f>
        <v>1752</v>
      </c>
      <c r="B1162" s="149">
        <f t="shared" si="709"/>
        <v>7.4755606670500289E-3</v>
      </c>
      <c r="C1162" s="20">
        <f t="shared" si="710"/>
        <v>10</v>
      </c>
      <c r="D1162" s="21">
        <f>ROUND(U1090,0)</f>
        <v>19</v>
      </c>
      <c r="E1162" s="22">
        <f>IF(TREND($E$1153:$E$1161,$C$1153:$C$1161,C1162)&lt;365,TREND($E$1153:$E$1161,$C$1153:$C$1161,C1162),365)</f>
        <v>184.00076368174948</v>
      </c>
      <c r="F1162" s="21">
        <f>D1162*E1162</f>
        <v>3496.0145099532401</v>
      </c>
      <c r="G1162" s="24">
        <f>'DDS Rates for Amend'!CF17</f>
        <v>291.23</v>
      </c>
      <c r="H1162" s="33">
        <f>F1162*G1162</f>
        <v>1018144.3057336822</v>
      </c>
      <c r="I1162" s="688"/>
      <c r="J1162" s="205"/>
    </row>
    <row r="1163" spans="1:12" x14ac:dyDescent="0.25">
      <c r="A1163" s="21">
        <f>A$15</f>
        <v>1822</v>
      </c>
      <c r="B1163" s="149">
        <f t="shared" si="709"/>
        <v>3.9954337899543377E-2</v>
      </c>
      <c r="C1163" s="20">
        <f t="shared" si="710"/>
        <v>11</v>
      </c>
      <c r="D1163" s="21">
        <f t="shared" ref="D1163:D1167" si="711">ROUND(U1091,0)</f>
        <v>19</v>
      </c>
      <c r="E1163" s="22">
        <f t="shared" ref="E1163:E1167" si="712">IF(TREND($E$1153:$E$1161,$C$1153:$C$1161,C1163)&lt;365,TREND($E$1153:$E$1161,$C$1153:$C$1161,C1163),365)</f>
        <v>170.16609651629346</v>
      </c>
      <c r="F1163" s="21">
        <f t="shared" ref="F1163:F1167" si="713">D1163*E1163</f>
        <v>3233.1558338095756</v>
      </c>
      <c r="G1163" s="24">
        <f>'DDS Rates for Amend'!CF18</f>
        <v>298.8</v>
      </c>
      <c r="H1163" s="33">
        <f t="shared" ref="H1163:H1167" si="714">F1163*G1163</f>
        <v>966066.96314230119</v>
      </c>
      <c r="I1163" s="688"/>
      <c r="J1163" s="205"/>
    </row>
    <row r="1164" spans="1:12" x14ac:dyDescent="0.25">
      <c r="A1164" s="21">
        <f>A$16</f>
        <v>1872</v>
      </c>
      <c r="B1164" s="149">
        <f t="shared" si="709"/>
        <v>2.7442371020856202E-2</v>
      </c>
      <c r="C1164" s="20">
        <f t="shared" si="710"/>
        <v>12</v>
      </c>
      <c r="D1164" s="21">
        <f t="shared" si="711"/>
        <v>18</v>
      </c>
      <c r="E1164" s="22">
        <f t="shared" si="712"/>
        <v>156.33142935083742</v>
      </c>
      <c r="F1164" s="21">
        <f t="shared" si="713"/>
        <v>2813.9657283150736</v>
      </c>
      <c r="G1164" s="24">
        <f>'DDS Rates for Amend'!CF19</f>
        <v>306.56880000000001</v>
      </c>
      <c r="H1164" s="33">
        <f t="shared" si="714"/>
        <v>862674.09657067817</v>
      </c>
      <c r="I1164" s="688"/>
      <c r="J1164" s="205"/>
    </row>
    <row r="1165" spans="1:12" x14ac:dyDescent="0.25">
      <c r="A1165" s="21">
        <f>A$17</f>
        <v>1902</v>
      </c>
      <c r="B1165" s="149">
        <f t="shared" si="709"/>
        <v>1.6025641025641024E-2</v>
      </c>
      <c r="C1165" s="20">
        <f t="shared" si="710"/>
        <v>13</v>
      </c>
      <c r="D1165" s="21">
        <f t="shared" si="711"/>
        <v>18</v>
      </c>
      <c r="E1165" s="22">
        <f t="shared" si="712"/>
        <v>142.49676218538141</v>
      </c>
      <c r="F1165" s="21">
        <f t="shared" si="713"/>
        <v>2564.9417193368654</v>
      </c>
      <c r="G1165" s="24">
        <f>'DDS Rates for Amend'!CF20</f>
        <v>314.53958879999999</v>
      </c>
      <c r="H1165" s="33">
        <f t="shared" si="714"/>
        <v>806775.71369618259</v>
      </c>
      <c r="I1165" s="688"/>
      <c r="J1165" s="205"/>
    </row>
    <row r="1166" spans="1:12" x14ac:dyDescent="0.25">
      <c r="A1166" s="21">
        <f>A$18</f>
        <v>1932</v>
      </c>
      <c r="B1166" s="149">
        <f t="shared" si="709"/>
        <v>1.5772870662460567E-2</v>
      </c>
      <c r="C1166" s="20">
        <f t="shared" si="710"/>
        <v>14</v>
      </c>
      <c r="D1166" s="21">
        <f t="shared" si="711"/>
        <v>18</v>
      </c>
      <c r="E1166" s="22">
        <f t="shared" si="712"/>
        <v>128.6620950199254</v>
      </c>
      <c r="F1166" s="21">
        <f t="shared" si="713"/>
        <v>2315.9177103586571</v>
      </c>
      <c r="G1166" s="24">
        <f>'DDS Rates for Amend'!CF21</f>
        <v>322.71761810879997</v>
      </c>
      <c r="H1166" s="33">
        <f t="shared" si="714"/>
        <v>747387.44722293154</v>
      </c>
      <c r="I1166" s="688"/>
      <c r="J1166" s="205"/>
    </row>
    <row r="1167" spans="1:12" x14ac:dyDescent="0.25">
      <c r="A1167" s="21">
        <f>A$19</f>
        <v>1962</v>
      </c>
      <c r="B1167" s="149">
        <f t="shared" si="709"/>
        <v>1.5527950310559006E-2</v>
      </c>
      <c r="C1167" s="20">
        <f t="shared" si="710"/>
        <v>15</v>
      </c>
      <c r="D1167" s="21">
        <f t="shared" si="711"/>
        <v>18</v>
      </c>
      <c r="E1167" s="22">
        <f t="shared" si="712"/>
        <v>114.82742785446936</v>
      </c>
      <c r="F1167" s="21">
        <f t="shared" si="713"/>
        <v>2066.8937013804484</v>
      </c>
      <c r="G1167" s="24">
        <f>'DDS Rates for Amend'!CF22</f>
        <v>331.10827617962877</v>
      </c>
      <c r="H1167" s="33">
        <f t="shared" si="714"/>
        <v>684365.61051061272</v>
      </c>
      <c r="I1167" s="689"/>
      <c r="J1167" s="205"/>
      <c r="K1167" s="285">
        <f>SUM(H1153:H1167)</f>
        <v>35637329.666876391</v>
      </c>
      <c r="L1167" s="17">
        <f>IF(K1167='Appendix J-2'!CD90,0,error)</f>
        <v>0</v>
      </c>
    </row>
    <row r="1168" spans="1:12" x14ac:dyDescent="0.25">
      <c r="C1168"/>
      <c r="I1168" s="544"/>
      <c r="J1168"/>
    </row>
    <row r="1169" spans="1:10" ht="15" customHeight="1" x14ac:dyDescent="0.25">
      <c r="A1169" s="271" t="s">
        <v>70</v>
      </c>
      <c r="B1169" s="272"/>
      <c r="C1169" s="272"/>
      <c r="D1169" s="292" t="str">
        <f>'Appendix J-2'!B91</f>
        <v>Assistance</v>
      </c>
      <c r="E1169" s="223" t="str">
        <f>'Appendix J-2'!C91</f>
        <v>1 day</v>
      </c>
      <c r="F1169" s="690"/>
      <c r="G1169" s="690"/>
      <c r="H1169" s="690"/>
      <c r="I1169" s="687" t="s">
        <v>1113</v>
      </c>
      <c r="J1169" s="205"/>
    </row>
    <row r="1170" spans="1:10" x14ac:dyDescent="0.25">
      <c r="A1170" s="147" t="s">
        <v>26</v>
      </c>
      <c r="B1170" s="147" t="s">
        <v>27</v>
      </c>
      <c r="C1170" s="50" t="s">
        <v>166</v>
      </c>
      <c r="D1170" s="91" t="s">
        <v>154</v>
      </c>
      <c r="E1170" s="89" t="s">
        <v>155</v>
      </c>
      <c r="F1170" s="34" t="s">
        <v>158</v>
      </c>
      <c r="G1170" s="35" t="s">
        <v>156</v>
      </c>
      <c r="H1170" s="51" t="s">
        <v>157</v>
      </c>
      <c r="I1170" s="688"/>
      <c r="J1170" s="205"/>
    </row>
    <row r="1171" spans="1:10" ht="15" customHeight="1" x14ac:dyDescent="0.25">
      <c r="A1171" s="21">
        <f>A$5</f>
        <v>1182</v>
      </c>
      <c r="B1171" s="148"/>
      <c r="C1171" s="144">
        <v>1</v>
      </c>
      <c r="D1171" s="247">
        <f>'Appendix J-2'!D91</f>
        <v>39</v>
      </c>
      <c r="E1171" s="22">
        <f>IF(F1171=0,0,F1171/D1171)</f>
        <v>228.87179487179486</v>
      </c>
      <c r="F1171" s="247">
        <f>'Appendix J-2'!F91</f>
        <v>8926</v>
      </c>
      <c r="G1171" s="24">
        <f>H1171/F1171</f>
        <v>366.80958323997311</v>
      </c>
      <c r="H1171" s="250">
        <f>'Appendix J-2'!H91</f>
        <v>3274142.34</v>
      </c>
      <c r="I1171" s="688"/>
      <c r="J1171" s="205"/>
    </row>
    <row r="1172" spans="1:10" x14ac:dyDescent="0.25">
      <c r="A1172" s="21">
        <f>A$6</f>
        <v>1288</v>
      </c>
      <c r="B1172" s="149">
        <f>(A1172-A1171)/A1171</f>
        <v>8.9678510998307953E-2</v>
      </c>
      <c r="C1172" s="52">
        <v>2</v>
      </c>
      <c r="D1172" s="247">
        <f>'Appendix J-2'!I91</f>
        <v>41</v>
      </c>
      <c r="E1172" s="22">
        <f t="shared" ref="E1172:E1179" si="715">IF(F1172=0,0,F1172/D1172)</f>
        <v>270.2439024390244</v>
      </c>
      <c r="F1172" s="247">
        <f>'Appendix J-2'!K91</f>
        <v>11080</v>
      </c>
      <c r="G1172" s="24">
        <f t="shared" ref="G1172:G1179" si="716">H1172/F1172</f>
        <v>366.83892960288807</v>
      </c>
      <c r="H1172" s="250">
        <f>'Appendix J-2'!M91</f>
        <v>4064575.34</v>
      </c>
      <c r="I1172" s="688"/>
      <c r="J1172" s="205"/>
    </row>
    <row r="1173" spans="1:10" x14ac:dyDescent="0.25">
      <c r="A1173" s="21">
        <f>A$7</f>
        <v>1495</v>
      </c>
      <c r="B1173" s="149">
        <f t="shared" ref="B1173:B1185" si="717">(A1173-A1172)/A1172</f>
        <v>0.16071428571428573</v>
      </c>
      <c r="C1173" s="52">
        <v>3</v>
      </c>
      <c r="D1173" s="247">
        <f>'Appendix J-2'!N91</f>
        <v>43</v>
      </c>
      <c r="E1173" s="22">
        <f t="shared" si="715"/>
        <v>245.09302325581396</v>
      </c>
      <c r="F1173" s="247">
        <f>'Appendix J-2'!P91</f>
        <v>10539</v>
      </c>
      <c r="G1173" s="24">
        <f t="shared" si="716"/>
        <v>366.60280861561819</v>
      </c>
      <c r="H1173" s="248">
        <f>'Appendix J-2'!R91</f>
        <v>3863627</v>
      </c>
      <c r="I1173" s="688"/>
      <c r="J1173" s="205"/>
    </row>
    <row r="1174" spans="1:10" x14ac:dyDescent="0.25">
      <c r="A1174" s="21">
        <f>A$8</f>
        <v>1484</v>
      </c>
      <c r="B1174" s="149">
        <f t="shared" si="717"/>
        <v>-7.3578595317725752E-3</v>
      </c>
      <c r="C1174" s="52">
        <f t="shared" ref="C1174:C1185" si="718">C1173+1</f>
        <v>4</v>
      </c>
      <c r="D1174" s="247">
        <f>'Appendix J-2'!S91</f>
        <v>40</v>
      </c>
      <c r="E1174" s="22">
        <f t="shared" si="715"/>
        <v>224.57499999999999</v>
      </c>
      <c r="F1174" s="247">
        <f>'Appendix J-2'!U91</f>
        <v>8983</v>
      </c>
      <c r="G1174" s="24">
        <f t="shared" si="716"/>
        <v>366.9894244684404</v>
      </c>
      <c r="H1174" s="248">
        <f>'Appendix J-2'!W91</f>
        <v>3296666</v>
      </c>
      <c r="I1174" s="688"/>
      <c r="J1174" s="205"/>
    </row>
    <row r="1175" spans="1:10" x14ac:dyDescent="0.25">
      <c r="A1175" s="21">
        <f>A$9</f>
        <v>1528</v>
      </c>
      <c r="B1175" s="149">
        <f t="shared" si="717"/>
        <v>2.9649595687331536E-2</v>
      </c>
      <c r="C1175" s="52">
        <f t="shared" si="718"/>
        <v>5</v>
      </c>
      <c r="D1175" s="247">
        <f>'Appendix J-2'!X91</f>
        <v>31</v>
      </c>
      <c r="E1175" s="22">
        <f t="shared" si="715"/>
        <v>325.22580645161293</v>
      </c>
      <c r="F1175" s="247">
        <f>'Appendix J-2'!Z91</f>
        <v>10082</v>
      </c>
      <c r="G1175" s="24">
        <f t="shared" si="716"/>
        <v>366.92313033128346</v>
      </c>
      <c r="H1175" s="248">
        <f>'Appendix J-2'!AB91</f>
        <v>3699319</v>
      </c>
      <c r="I1175" s="688"/>
      <c r="J1175" s="205"/>
    </row>
    <row r="1176" spans="1:10" x14ac:dyDescent="0.25">
      <c r="A1176" s="21">
        <f>A$10</f>
        <v>1592</v>
      </c>
      <c r="B1176" s="149">
        <f t="shared" si="717"/>
        <v>4.1884816753926704E-2</v>
      </c>
      <c r="C1176" s="20">
        <f t="shared" si="718"/>
        <v>6</v>
      </c>
      <c r="D1176" s="249">
        <f>'Appendix J-2'!AC91</f>
        <v>49</v>
      </c>
      <c r="E1176" s="22">
        <f t="shared" si="715"/>
        <v>151.65306122448979</v>
      </c>
      <c r="F1176" s="249">
        <f>'Appendix J-2'!AE91</f>
        <v>7431</v>
      </c>
      <c r="G1176" s="24">
        <f t="shared" si="716"/>
        <v>322</v>
      </c>
      <c r="H1176" s="248">
        <f>'Appendix J-2'!AG91</f>
        <v>2392782</v>
      </c>
      <c r="I1176" s="688"/>
      <c r="J1176" s="205"/>
    </row>
    <row r="1177" spans="1:10" x14ac:dyDescent="0.25">
      <c r="A1177" s="21">
        <f>A$11</f>
        <v>1642</v>
      </c>
      <c r="B1177" s="149">
        <f t="shared" si="717"/>
        <v>3.1407035175879394E-2</v>
      </c>
      <c r="C1177" s="20">
        <f t="shared" si="718"/>
        <v>7</v>
      </c>
      <c r="D1177" s="249">
        <f>'Appendix J-2'!AH91</f>
        <v>26</v>
      </c>
      <c r="E1177" s="22">
        <f t="shared" si="715"/>
        <v>156.65384615384616</v>
      </c>
      <c r="F1177" s="249">
        <f>'Appendix J-2'!AJ91</f>
        <v>4073</v>
      </c>
      <c r="G1177" s="24">
        <f t="shared" si="716"/>
        <v>324.60370243064079</v>
      </c>
      <c r="H1177" s="248">
        <f>'Appendix J-2'!AL91</f>
        <v>1322110.8799999999</v>
      </c>
      <c r="I1177" s="688"/>
      <c r="J1177" s="205"/>
    </row>
    <row r="1178" spans="1:10" x14ac:dyDescent="0.25">
      <c r="A1178" s="21">
        <f>A$12</f>
        <v>1675</v>
      </c>
      <c r="B1178" s="149">
        <f t="shared" si="717"/>
        <v>2.0097442143727162E-2</v>
      </c>
      <c r="C1178" s="20">
        <f t="shared" si="718"/>
        <v>8</v>
      </c>
      <c r="D1178" s="249">
        <f>'Appendix J-2'!AM91</f>
        <v>22</v>
      </c>
      <c r="E1178" s="22">
        <f t="shared" si="715"/>
        <v>203.13636363636363</v>
      </c>
      <c r="F1178" s="249">
        <f>'Appendix J-2'!AO91</f>
        <v>4469</v>
      </c>
      <c r="G1178" s="24">
        <f t="shared" si="716"/>
        <v>348.78000000000003</v>
      </c>
      <c r="H1178" s="248">
        <f>'Appendix J-2'!AQ91</f>
        <v>1558697.82</v>
      </c>
      <c r="I1178" s="688"/>
      <c r="J1178" s="205"/>
    </row>
    <row r="1179" spans="1:10" x14ac:dyDescent="0.25">
      <c r="A1179" s="21">
        <f>A$13</f>
        <v>1739</v>
      </c>
      <c r="B1179" s="149">
        <f t="shared" si="717"/>
        <v>3.8208955223880597E-2</v>
      </c>
      <c r="C1179" s="20">
        <f t="shared" si="718"/>
        <v>9</v>
      </c>
      <c r="D1179" s="249">
        <f>'Appendix J-2'!AR91</f>
        <v>21</v>
      </c>
      <c r="E1179" s="22">
        <f t="shared" si="715"/>
        <v>258.28571428571428</v>
      </c>
      <c r="F1179" s="249">
        <f>'Appendix J-2'!AT91</f>
        <v>5424</v>
      </c>
      <c r="G1179" s="24">
        <f t="shared" si="716"/>
        <v>352.88751843657815</v>
      </c>
      <c r="H1179" s="248">
        <f>'Appendix J-2'!AV91</f>
        <v>1914061.9</v>
      </c>
      <c r="I1179" s="688"/>
      <c r="J1179" s="205"/>
    </row>
    <row r="1180" spans="1:10" x14ac:dyDescent="0.25">
      <c r="A1180" s="21">
        <f>A$14</f>
        <v>1752</v>
      </c>
      <c r="B1180" s="149">
        <f t="shared" si="717"/>
        <v>7.4755606670500289E-3</v>
      </c>
      <c r="C1180" s="20">
        <f t="shared" si="718"/>
        <v>10</v>
      </c>
      <c r="D1180" s="21">
        <f>ROUND(V1090,0)</f>
        <v>21</v>
      </c>
      <c r="E1180" s="22">
        <f>IF(TREND($E$1171:$E$1179,$C$1171:$C$1179,C1180)&lt;365,TREND($E$1171:$E$1179,$C$1171:$C$1179,C1180),365)</f>
        <v>201.51534316887188</v>
      </c>
      <c r="F1180" s="21">
        <f>D1180*E1180</f>
        <v>4231.8222065463096</v>
      </c>
      <c r="G1180" s="24">
        <f>'DDS Rates for Amend'!CG17</f>
        <v>359.87</v>
      </c>
      <c r="H1180" s="33">
        <f>F1180*G1180</f>
        <v>1522905.8574698204</v>
      </c>
      <c r="I1180" s="688"/>
      <c r="J1180" s="205"/>
    </row>
    <row r="1181" spans="1:10" x14ac:dyDescent="0.25">
      <c r="A1181" s="21">
        <f>A$15</f>
        <v>1822</v>
      </c>
      <c r="B1181" s="149">
        <f t="shared" si="717"/>
        <v>3.9954337899543377E-2</v>
      </c>
      <c r="C1181" s="20">
        <f t="shared" si="718"/>
        <v>11</v>
      </c>
      <c r="D1181" s="21">
        <f t="shared" ref="D1181:D1185" si="719">ROUND(V1091,0)</f>
        <v>21</v>
      </c>
      <c r="E1181" s="22">
        <f t="shared" ref="E1181:E1185" si="720">IF(TREND($E$1171:$E$1179,$C$1171:$C$1179,C1181)&lt;365,TREND($E$1171:$E$1179,$C$1171:$C$1179,C1181),365)</f>
        <v>195.95755597334272</v>
      </c>
      <c r="F1181" s="21">
        <f t="shared" ref="F1181:F1185" si="721">D1181*E1181</f>
        <v>4115.1086754401967</v>
      </c>
      <c r="G1181" s="24">
        <f>'DDS Rates for Amend'!CG18</f>
        <v>369.23</v>
      </c>
      <c r="H1181" s="33">
        <f t="shared" ref="H1181:H1185" si="722">F1181*G1181</f>
        <v>1519421.576232784</v>
      </c>
      <c r="I1181" s="688"/>
      <c r="J1181" s="205"/>
    </row>
    <row r="1182" spans="1:10" x14ac:dyDescent="0.25">
      <c r="A1182" s="21">
        <f>A$16</f>
        <v>1872</v>
      </c>
      <c r="B1182" s="149">
        <f t="shared" si="717"/>
        <v>2.7442371020856202E-2</v>
      </c>
      <c r="C1182" s="20">
        <f t="shared" si="718"/>
        <v>12</v>
      </c>
      <c r="D1182" s="21">
        <f t="shared" si="719"/>
        <v>20</v>
      </c>
      <c r="E1182" s="22">
        <f t="shared" si="720"/>
        <v>190.39976877781353</v>
      </c>
      <c r="F1182" s="21">
        <f t="shared" si="721"/>
        <v>3807.9953755562706</v>
      </c>
      <c r="G1182" s="24">
        <f>'DDS Rates for Amend'!CG19</f>
        <v>378.82998000000003</v>
      </c>
      <c r="H1182" s="33">
        <f t="shared" si="722"/>
        <v>1442582.8119620746</v>
      </c>
      <c r="I1182" s="688"/>
      <c r="J1182" s="205"/>
    </row>
    <row r="1183" spans="1:10" x14ac:dyDescent="0.25">
      <c r="A1183" s="21">
        <f>A$17</f>
        <v>1902</v>
      </c>
      <c r="B1183" s="149">
        <f t="shared" si="717"/>
        <v>1.6025641025641024E-2</v>
      </c>
      <c r="C1183" s="20">
        <f t="shared" si="718"/>
        <v>13</v>
      </c>
      <c r="D1183" s="21">
        <f t="shared" si="719"/>
        <v>20</v>
      </c>
      <c r="E1183" s="22">
        <f t="shared" si="720"/>
        <v>184.84198158228435</v>
      </c>
      <c r="F1183" s="21">
        <f t="shared" si="721"/>
        <v>3696.8396316456869</v>
      </c>
      <c r="G1183" s="24">
        <f>'DDS Rates for Amend'!CG20</f>
        <v>388.67955948000002</v>
      </c>
      <c r="H1183" s="33">
        <f t="shared" si="722"/>
        <v>1436885.9994962511</v>
      </c>
      <c r="I1183" s="688"/>
      <c r="J1183" s="205"/>
    </row>
    <row r="1184" spans="1:10" x14ac:dyDescent="0.25">
      <c r="A1184" s="21">
        <f>A$18</f>
        <v>1932</v>
      </c>
      <c r="B1184" s="149">
        <f t="shared" si="717"/>
        <v>1.5772870662460567E-2</v>
      </c>
      <c r="C1184" s="20">
        <f t="shared" si="718"/>
        <v>14</v>
      </c>
      <c r="D1184" s="21">
        <f t="shared" si="719"/>
        <v>20</v>
      </c>
      <c r="E1184" s="22">
        <f t="shared" si="720"/>
        <v>179.28419438675519</v>
      </c>
      <c r="F1184" s="21">
        <f t="shared" si="721"/>
        <v>3585.6838877351038</v>
      </c>
      <c r="G1184" s="24">
        <f>'DDS Rates for Amend'!CG21</f>
        <v>398.78522802648001</v>
      </c>
      <c r="H1184" s="33">
        <f t="shared" si="722"/>
        <v>1429917.7668013186</v>
      </c>
      <c r="I1184" s="688"/>
      <c r="J1184" s="205"/>
    </row>
    <row r="1185" spans="1:12" x14ac:dyDescent="0.25">
      <c r="A1185" s="21">
        <f>A$19</f>
        <v>1962</v>
      </c>
      <c r="B1185" s="149">
        <f t="shared" si="717"/>
        <v>1.5527950310559006E-2</v>
      </c>
      <c r="C1185" s="20">
        <f t="shared" si="718"/>
        <v>15</v>
      </c>
      <c r="D1185" s="21">
        <f t="shared" si="719"/>
        <v>20</v>
      </c>
      <c r="E1185" s="22">
        <f t="shared" si="720"/>
        <v>173.72640719122603</v>
      </c>
      <c r="F1185" s="21">
        <f t="shared" si="721"/>
        <v>3474.5281438245206</v>
      </c>
      <c r="G1185" s="24">
        <f>'DDS Rates for Amend'!CG22</f>
        <v>409.15364395516849</v>
      </c>
      <c r="H1185" s="33">
        <f t="shared" si="722"/>
        <v>1421615.8510705903</v>
      </c>
      <c r="I1185" s="689"/>
      <c r="J1185" s="205"/>
      <c r="K1185" s="285">
        <f>SUM(H1171:H1185)</f>
        <v>34159312.143032834</v>
      </c>
      <c r="L1185" s="17">
        <f>IF(K1185='Appendix J-2'!CD91,0,error)</f>
        <v>0</v>
      </c>
    </row>
    <row r="1186" spans="1:12" x14ac:dyDescent="0.25">
      <c r="A1186" s="153"/>
      <c r="B1186" s="154"/>
      <c r="C1186" s="158"/>
      <c r="D1186" s="153"/>
      <c r="E1186" s="213"/>
      <c r="F1186" s="153"/>
      <c r="G1186" s="214"/>
      <c r="H1186" s="199"/>
      <c r="I1186" s="572"/>
      <c r="J1186" s="159"/>
    </row>
    <row r="1187" spans="1:12" ht="15" customHeight="1" x14ac:dyDescent="0.25">
      <c r="A1187" s="272" t="s">
        <v>71</v>
      </c>
      <c r="B1187" s="272"/>
      <c r="C1187" s="272"/>
      <c r="D1187" s="292" t="str">
        <f>'Appendix J-2'!B92</f>
        <v>Assistance</v>
      </c>
      <c r="E1187" s="223" t="str">
        <f>'Appendix J-2'!C92</f>
        <v>1 day</v>
      </c>
      <c r="F1187" s="690"/>
      <c r="G1187" s="690"/>
      <c r="H1187" s="690"/>
      <c r="I1187" s="687" t="s">
        <v>1113</v>
      </c>
      <c r="J1187" s="205"/>
    </row>
    <row r="1188" spans="1:12" x14ac:dyDescent="0.25">
      <c r="A1188" s="147" t="s">
        <v>26</v>
      </c>
      <c r="B1188" s="147" t="s">
        <v>27</v>
      </c>
      <c r="C1188" s="50" t="s">
        <v>166</v>
      </c>
      <c r="D1188" s="91" t="s">
        <v>154</v>
      </c>
      <c r="E1188" s="89" t="s">
        <v>155</v>
      </c>
      <c r="F1188" s="34" t="s">
        <v>158</v>
      </c>
      <c r="G1188" s="35" t="s">
        <v>156</v>
      </c>
      <c r="H1188" s="51" t="s">
        <v>157</v>
      </c>
      <c r="I1188" s="688"/>
      <c r="J1188" s="205"/>
    </row>
    <row r="1189" spans="1:12" ht="15" customHeight="1" x14ac:dyDescent="0.25">
      <c r="A1189" s="21">
        <f>A$5</f>
        <v>1182</v>
      </c>
      <c r="B1189" s="148"/>
      <c r="C1189" s="144">
        <v>1</v>
      </c>
      <c r="D1189" s="247">
        <f>'Appendix J-2'!D92</f>
        <v>27</v>
      </c>
      <c r="E1189" s="22">
        <f>IF(F1189=0,0,F1189/D1189)</f>
        <v>176.85185185185185</v>
      </c>
      <c r="F1189" s="247">
        <f>'Appendix J-2'!F92</f>
        <v>4775</v>
      </c>
      <c r="G1189" s="24">
        <f>H1189/F1189</f>
        <v>443.6568041884816</v>
      </c>
      <c r="H1189" s="250">
        <f>'Appendix J-2'!H92</f>
        <v>2118461.2399999998</v>
      </c>
      <c r="I1189" s="688"/>
      <c r="J1189" s="205"/>
    </row>
    <row r="1190" spans="1:12" x14ac:dyDescent="0.25">
      <c r="A1190" s="21">
        <f>A$6</f>
        <v>1288</v>
      </c>
      <c r="B1190" s="149">
        <f>(A1190-A1189)/A1189</f>
        <v>8.9678510998307953E-2</v>
      </c>
      <c r="C1190" s="52">
        <v>2</v>
      </c>
      <c r="D1190" s="247">
        <f>'Appendix J-2'!I92</f>
        <v>22</v>
      </c>
      <c r="E1190" s="22">
        <f t="shared" ref="E1190:E1197" si="723">IF(F1190=0,0,F1190/D1190)</f>
        <v>230</v>
      </c>
      <c r="F1190" s="247">
        <f>'Appendix J-2'!K92</f>
        <v>5060</v>
      </c>
      <c r="G1190" s="24">
        <f t="shared" ref="G1190:G1197" si="724">H1190/F1190</f>
        <v>445.49169960474308</v>
      </c>
      <c r="H1190" s="250">
        <f>'Appendix J-2'!M92</f>
        <v>2254188</v>
      </c>
      <c r="I1190" s="688"/>
      <c r="J1190" s="205"/>
    </row>
    <row r="1191" spans="1:12" x14ac:dyDescent="0.25">
      <c r="A1191" s="21">
        <f>A$7</f>
        <v>1495</v>
      </c>
      <c r="B1191" s="149">
        <f t="shared" ref="B1191:B1203" si="725">(A1191-A1190)/A1190</f>
        <v>0.16071428571428573</v>
      </c>
      <c r="C1191" s="52">
        <v>3</v>
      </c>
      <c r="D1191" s="247">
        <f>'Appendix J-2'!N92</f>
        <v>29</v>
      </c>
      <c r="E1191" s="22">
        <f t="shared" si="723"/>
        <v>266.79310344827587</v>
      </c>
      <c r="F1191" s="247">
        <f>'Appendix J-2'!P92</f>
        <v>7737</v>
      </c>
      <c r="G1191" s="24">
        <f t="shared" si="724"/>
        <v>444</v>
      </c>
      <c r="H1191" s="248">
        <f>'Appendix J-2'!R92</f>
        <v>3435228</v>
      </c>
      <c r="I1191" s="688"/>
      <c r="J1191" s="205"/>
    </row>
    <row r="1192" spans="1:12" x14ac:dyDescent="0.25">
      <c r="A1192" s="21">
        <f>A$8</f>
        <v>1484</v>
      </c>
      <c r="B1192" s="149">
        <f t="shared" si="725"/>
        <v>-7.3578595317725752E-3</v>
      </c>
      <c r="C1192" s="52">
        <f t="shared" ref="C1192:C1203" si="726">C1191+1</f>
        <v>4</v>
      </c>
      <c r="D1192" s="247">
        <f>'Appendix J-2'!S92</f>
        <v>26</v>
      </c>
      <c r="E1192" s="22">
        <f t="shared" si="723"/>
        <v>242.15384615384616</v>
      </c>
      <c r="F1192" s="247">
        <f>'Appendix J-2'!U92</f>
        <v>6296</v>
      </c>
      <c r="G1192" s="24">
        <f t="shared" si="724"/>
        <v>443.99841168996187</v>
      </c>
      <c r="H1192" s="248">
        <f>'Appendix J-2'!W92</f>
        <v>2795414</v>
      </c>
      <c r="I1192" s="688"/>
      <c r="J1192" s="205"/>
    </row>
    <row r="1193" spans="1:12" x14ac:dyDescent="0.25">
      <c r="A1193" s="21">
        <f>A$9</f>
        <v>1528</v>
      </c>
      <c r="B1193" s="149">
        <f t="shared" si="725"/>
        <v>2.9649595687331536E-2</v>
      </c>
      <c r="C1193" s="52">
        <f t="shared" si="726"/>
        <v>5</v>
      </c>
      <c r="D1193" s="247">
        <f>'Appendix J-2'!X92</f>
        <v>23</v>
      </c>
      <c r="E1193" s="22">
        <f t="shared" si="723"/>
        <v>254.17391304347825</v>
      </c>
      <c r="F1193" s="247">
        <f>'Appendix J-2'!Z92</f>
        <v>5846</v>
      </c>
      <c r="G1193" s="24">
        <f t="shared" si="724"/>
        <v>444</v>
      </c>
      <c r="H1193" s="248">
        <f>'Appendix J-2'!AB92</f>
        <v>2595624</v>
      </c>
      <c r="I1193" s="688"/>
      <c r="J1193" s="205"/>
    </row>
    <row r="1194" spans="1:12" x14ac:dyDescent="0.25">
      <c r="A1194" s="21">
        <f>A$10</f>
        <v>1592</v>
      </c>
      <c r="B1194" s="149">
        <f t="shared" si="725"/>
        <v>4.1884816753926704E-2</v>
      </c>
      <c r="C1194" s="20">
        <f t="shared" si="726"/>
        <v>6</v>
      </c>
      <c r="D1194" s="249">
        <f>'Appendix J-2'!AC92</f>
        <v>35</v>
      </c>
      <c r="E1194" s="22">
        <f t="shared" si="723"/>
        <v>168.71428571428572</v>
      </c>
      <c r="F1194" s="249">
        <f>'Appendix J-2'!AE92</f>
        <v>5905</v>
      </c>
      <c r="G1194" s="24">
        <f t="shared" si="724"/>
        <v>379.92650296359017</v>
      </c>
      <c r="H1194" s="248">
        <f>'Appendix J-2'!AG92</f>
        <v>2243466</v>
      </c>
      <c r="I1194" s="688"/>
      <c r="J1194" s="205"/>
    </row>
    <row r="1195" spans="1:12" x14ac:dyDescent="0.25">
      <c r="A1195" s="21">
        <f>A$11</f>
        <v>1642</v>
      </c>
      <c r="B1195" s="149">
        <f t="shared" si="725"/>
        <v>3.1407035175879394E-2</v>
      </c>
      <c r="C1195" s="20">
        <f t="shared" si="726"/>
        <v>7</v>
      </c>
      <c r="D1195" s="249">
        <f>'Appendix J-2'!AH92</f>
        <v>29</v>
      </c>
      <c r="E1195" s="22">
        <f t="shared" si="723"/>
        <v>146.75862068965517</v>
      </c>
      <c r="F1195" s="249">
        <f>'Appendix J-2'!AJ92</f>
        <v>4256</v>
      </c>
      <c r="G1195" s="24">
        <f t="shared" si="724"/>
        <v>381.46263157894737</v>
      </c>
      <c r="H1195" s="248">
        <f>'Appendix J-2'!AL92</f>
        <v>1623504.96</v>
      </c>
      <c r="I1195" s="688"/>
      <c r="J1195" s="205"/>
    </row>
    <row r="1196" spans="1:12" x14ac:dyDescent="0.25">
      <c r="A1196" s="21">
        <f>A$12</f>
        <v>1675</v>
      </c>
      <c r="B1196" s="149">
        <f t="shared" si="725"/>
        <v>2.0097442143727162E-2</v>
      </c>
      <c r="C1196" s="20">
        <f t="shared" si="726"/>
        <v>8</v>
      </c>
      <c r="D1196" s="249">
        <f>'Appendix J-2'!AM92</f>
        <v>22</v>
      </c>
      <c r="E1196" s="22">
        <f t="shared" si="723"/>
        <v>240.63636363636363</v>
      </c>
      <c r="F1196" s="249">
        <f>'Appendix J-2'!AO92</f>
        <v>5294</v>
      </c>
      <c r="G1196" s="24">
        <f t="shared" si="724"/>
        <v>411.44649036645262</v>
      </c>
      <c r="H1196" s="248">
        <f>'Appendix J-2'!AQ92</f>
        <v>2178197.7200000002</v>
      </c>
      <c r="I1196" s="688"/>
      <c r="J1196" s="205"/>
    </row>
    <row r="1197" spans="1:12" x14ac:dyDescent="0.25">
      <c r="A1197" s="21">
        <f>A$13</f>
        <v>1739</v>
      </c>
      <c r="B1197" s="149">
        <f t="shared" si="725"/>
        <v>3.8208955223880597E-2</v>
      </c>
      <c r="C1197" s="20">
        <f t="shared" si="726"/>
        <v>9</v>
      </c>
      <c r="D1197" s="249">
        <f>'Appendix J-2'!AR92</f>
        <v>26</v>
      </c>
      <c r="E1197" s="22">
        <f t="shared" si="723"/>
        <v>217.73076923076923</v>
      </c>
      <c r="F1197" s="249">
        <f>'Appendix J-2'!AT92</f>
        <v>5661</v>
      </c>
      <c r="G1197" s="24">
        <f t="shared" si="724"/>
        <v>406.80683978095743</v>
      </c>
      <c r="H1197" s="248">
        <f>'Appendix J-2'!AV92</f>
        <v>2302933.52</v>
      </c>
      <c r="I1197" s="688"/>
      <c r="J1197" s="205"/>
    </row>
    <row r="1198" spans="1:12" x14ac:dyDescent="0.25">
      <c r="A1198" s="21">
        <f>A$14</f>
        <v>1752</v>
      </c>
      <c r="B1198" s="149">
        <f t="shared" si="725"/>
        <v>7.4755606670500289E-3</v>
      </c>
      <c r="C1198" s="20">
        <f t="shared" si="726"/>
        <v>10</v>
      </c>
      <c r="D1198" s="21">
        <f>ROUND(W1090,0)</f>
        <v>25</v>
      </c>
      <c r="E1198" s="22">
        <f>IF(TREND($E$1189:$E$1197,$C$1189:$C$1197,C1198)&lt;365,TREND($E$1189:$E$1197,$C$1189:$C$1197,C1198),365)</f>
        <v>206.13888106883277</v>
      </c>
      <c r="F1198" s="21">
        <f>D1198*E1198</f>
        <v>5153.4720267208195</v>
      </c>
      <c r="G1198" s="24">
        <f>'DDS Rates for Amend'!CH17</f>
        <v>400.79</v>
      </c>
      <c r="H1198" s="33">
        <f>F1198*G1198</f>
        <v>2065460.0535894374</v>
      </c>
      <c r="I1198" s="688"/>
      <c r="J1198" s="205"/>
    </row>
    <row r="1199" spans="1:12" x14ac:dyDescent="0.25">
      <c r="A1199" s="21">
        <f>A$15</f>
        <v>1822</v>
      </c>
      <c r="B1199" s="149">
        <f t="shared" si="725"/>
        <v>3.9954337899543377E-2</v>
      </c>
      <c r="C1199" s="20">
        <f t="shared" si="726"/>
        <v>11</v>
      </c>
      <c r="D1199" s="21">
        <f t="shared" ref="D1199:D1203" si="727">ROUND(W1091,0)</f>
        <v>24</v>
      </c>
      <c r="E1199" s="22">
        <f t="shared" ref="E1199:E1203" si="728">IF(TREND($E$1189:$E$1197,$C$1189:$C$1197,C1199)&lt;365,TREND($E$1189:$E$1197,$C$1189:$C$1197,C1199),365)</f>
        <v>204.17081830996543</v>
      </c>
      <c r="F1199" s="21">
        <f t="shared" ref="F1199:F1203" si="729">D1199*E1199</f>
        <v>4900.0996394391705</v>
      </c>
      <c r="G1199" s="24">
        <f>'DDS Rates for Amend'!CH18</f>
        <v>411.21</v>
      </c>
      <c r="H1199" s="33">
        <f t="shared" ref="H1199:H1203" si="730">F1199*G1199</f>
        <v>2014969.9727337812</v>
      </c>
      <c r="I1199" s="688"/>
      <c r="J1199" s="205"/>
    </row>
    <row r="1200" spans="1:12" x14ac:dyDescent="0.25">
      <c r="A1200" s="21">
        <f>A$16</f>
        <v>1872</v>
      </c>
      <c r="B1200" s="149">
        <f t="shared" si="725"/>
        <v>2.7442371020856202E-2</v>
      </c>
      <c r="C1200" s="20">
        <f t="shared" si="726"/>
        <v>12</v>
      </c>
      <c r="D1200" s="21">
        <f t="shared" si="727"/>
        <v>24</v>
      </c>
      <c r="E1200" s="22">
        <f t="shared" si="728"/>
        <v>202.20275555109808</v>
      </c>
      <c r="F1200" s="21">
        <f t="shared" si="729"/>
        <v>4852.8661332263537</v>
      </c>
      <c r="G1200" s="24">
        <f>'DDS Rates for Amend'!CH19</f>
        <v>421.90145999999999</v>
      </c>
      <c r="H1200" s="33">
        <f t="shared" si="730"/>
        <v>2047431.3067927531</v>
      </c>
      <c r="I1200" s="688"/>
      <c r="J1200" s="205"/>
    </row>
    <row r="1201" spans="1:12" x14ac:dyDescent="0.25">
      <c r="A1201" s="21">
        <f>A$17</f>
        <v>1902</v>
      </c>
      <c r="B1201" s="149">
        <f t="shared" si="725"/>
        <v>1.6025641025641024E-2</v>
      </c>
      <c r="C1201" s="20">
        <f t="shared" si="726"/>
        <v>13</v>
      </c>
      <c r="D1201" s="21">
        <f t="shared" si="727"/>
        <v>23</v>
      </c>
      <c r="E1201" s="22">
        <f t="shared" si="728"/>
        <v>200.2346927922307</v>
      </c>
      <c r="F1201" s="21">
        <f t="shared" si="729"/>
        <v>4605.3979342213061</v>
      </c>
      <c r="G1201" s="24">
        <f>'DDS Rates for Amend'!CH20</f>
        <v>432.87089795999998</v>
      </c>
      <c r="H1201" s="33">
        <f t="shared" si="730"/>
        <v>1993542.7392495056</v>
      </c>
      <c r="I1201" s="688"/>
      <c r="J1201" s="205"/>
    </row>
    <row r="1202" spans="1:12" x14ac:dyDescent="0.25">
      <c r="A1202" s="21">
        <f>A$18</f>
        <v>1932</v>
      </c>
      <c r="B1202" s="149">
        <f t="shared" si="725"/>
        <v>1.5772870662460567E-2</v>
      </c>
      <c r="C1202" s="20">
        <f t="shared" si="726"/>
        <v>14</v>
      </c>
      <c r="D1202" s="21">
        <f t="shared" si="727"/>
        <v>23</v>
      </c>
      <c r="E1202" s="22">
        <f t="shared" si="728"/>
        <v>198.26663003336336</v>
      </c>
      <c r="F1202" s="21">
        <f t="shared" si="729"/>
        <v>4560.132490767357</v>
      </c>
      <c r="G1202" s="24">
        <f>'DDS Rates for Amend'!CH21</f>
        <v>444.12554130695997</v>
      </c>
      <c r="H1202" s="33">
        <f t="shared" si="730"/>
        <v>2025271.3108935081</v>
      </c>
      <c r="I1202" s="688"/>
      <c r="J1202" s="205"/>
    </row>
    <row r="1203" spans="1:12" x14ac:dyDescent="0.25">
      <c r="A1203" s="21">
        <f>A$19</f>
        <v>1962</v>
      </c>
      <c r="B1203" s="149">
        <f t="shared" si="725"/>
        <v>1.5527950310559006E-2</v>
      </c>
      <c r="C1203" s="20">
        <f t="shared" si="726"/>
        <v>15</v>
      </c>
      <c r="D1203" s="21">
        <f t="shared" si="727"/>
        <v>23</v>
      </c>
      <c r="E1203" s="22">
        <f t="shared" si="728"/>
        <v>196.29856727449601</v>
      </c>
      <c r="F1203" s="21">
        <f t="shared" si="729"/>
        <v>4514.867047313408</v>
      </c>
      <c r="G1203" s="24">
        <f>'DDS Rates for Amend'!CH22</f>
        <v>455.67280538094093</v>
      </c>
      <c r="H1203" s="33">
        <f t="shared" si="730"/>
        <v>2057302.1333712661</v>
      </c>
      <c r="I1203" s="689"/>
      <c r="J1203" s="205"/>
      <c r="K1203" s="285">
        <f>SUM(H1189:H1203)</f>
        <v>33750994.956630252</v>
      </c>
      <c r="L1203" s="17">
        <f>IF(K1203='Appendix J-2'!CD92,0,error)</f>
        <v>0</v>
      </c>
    </row>
    <row r="1204" spans="1:12" x14ac:dyDescent="0.25">
      <c r="C1204"/>
      <c r="I1204" s="544"/>
      <c r="J1204"/>
    </row>
    <row r="1205" spans="1:12" ht="15" customHeight="1" x14ac:dyDescent="0.25">
      <c r="A1205" s="271" t="s">
        <v>72</v>
      </c>
      <c r="B1205" s="272"/>
      <c r="C1205" s="272"/>
      <c r="D1205" s="292" t="str">
        <f>'Appendix J-2'!B93</f>
        <v>Assistance</v>
      </c>
      <c r="E1205" s="223" t="str">
        <f>'Appendix J-2'!C93</f>
        <v>1 day</v>
      </c>
      <c r="F1205" s="690"/>
      <c r="G1205" s="690"/>
      <c r="H1205" s="690"/>
      <c r="I1205" s="687" t="s">
        <v>1113</v>
      </c>
      <c r="J1205" s="205"/>
    </row>
    <row r="1206" spans="1:12" x14ac:dyDescent="0.25">
      <c r="A1206" s="147" t="s">
        <v>26</v>
      </c>
      <c r="B1206" s="147" t="s">
        <v>27</v>
      </c>
      <c r="C1206" s="50" t="s">
        <v>166</v>
      </c>
      <c r="D1206" s="91" t="s">
        <v>154</v>
      </c>
      <c r="E1206" s="89" t="s">
        <v>155</v>
      </c>
      <c r="F1206" s="34" t="s">
        <v>158</v>
      </c>
      <c r="G1206" s="35" t="s">
        <v>156</v>
      </c>
      <c r="H1206" s="51" t="s">
        <v>157</v>
      </c>
      <c r="I1206" s="688"/>
      <c r="J1206" s="205"/>
    </row>
    <row r="1207" spans="1:12" ht="15" customHeight="1" x14ac:dyDescent="0.25">
      <c r="A1207" s="21">
        <f>A$5</f>
        <v>1182</v>
      </c>
      <c r="B1207" s="148"/>
      <c r="C1207" s="144">
        <v>1</v>
      </c>
      <c r="D1207" s="247">
        <f>'Appendix J-2'!D93</f>
        <v>12</v>
      </c>
      <c r="E1207" s="22">
        <f>IF(F1207=0,0,F1207/D1207)</f>
        <v>147.5</v>
      </c>
      <c r="F1207" s="247">
        <f>'Appendix J-2'!F93</f>
        <v>1770</v>
      </c>
      <c r="G1207" s="24">
        <f>H1207/F1207</f>
        <v>501.23107344632768</v>
      </c>
      <c r="H1207" s="250">
        <f>'Appendix J-2'!H93</f>
        <v>887179</v>
      </c>
      <c r="I1207" s="688"/>
      <c r="J1207" s="205"/>
    </row>
    <row r="1208" spans="1:12" x14ac:dyDescent="0.25">
      <c r="A1208" s="21">
        <f>A$6</f>
        <v>1288</v>
      </c>
      <c r="B1208" s="149">
        <f>(A1208-A1207)/A1207</f>
        <v>8.9678510998307953E-2</v>
      </c>
      <c r="C1208" s="52">
        <v>2</v>
      </c>
      <c r="D1208" s="247">
        <f>'Appendix J-2'!I93</f>
        <v>14</v>
      </c>
      <c r="E1208" s="22">
        <f t="shared" ref="E1208:E1215" si="731">IF(F1208=0,0,F1208/D1208)</f>
        <v>165.42857142857142</v>
      </c>
      <c r="F1208" s="247">
        <f>'Appendix J-2'!K93</f>
        <v>2316</v>
      </c>
      <c r="G1208" s="24">
        <f t="shared" ref="G1208:G1215" si="732">H1208/F1208</f>
        <v>550.47668393782385</v>
      </c>
      <c r="H1208" s="250">
        <f>'Appendix J-2'!M93</f>
        <v>1274904</v>
      </c>
      <c r="I1208" s="688"/>
      <c r="J1208" s="205"/>
    </row>
    <row r="1209" spans="1:12" x14ac:dyDescent="0.25">
      <c r="A1209" s="21">
        <f>A$7</f>
        <v>1495</v>
      </c>
      <c r="B1209" s="149">
        <f t="shared" ref="B1209:B1221" si="733">(A1209-A1208)/A1208</f>
        <v>0.16071428571428573</v>
      </c>
      <c r="C1209" s="52">
        <v>3</v>
      </c>
      <c r="D1209" s="247">
        <f>'Appendix J-2'!N93</f>
        <v>14</v>
      </c>
      <c r="E1209" s="22">
        <f t="shared" si="731"/>
        <v>257</v>
      </c>
      <c r="F1209" s="247">
        <f>'Appendix J-2'!P93</f>
        <v>3598</v>
      </c>
      <c r="G1209" s="24">
        <f t="shared" si="732"/>
        <v>545.40494719288495</v>
      </c>
      <c r="H1209" s="248">
        <f>'Appendix J-2'!R93</f>
        <v>1962367</v>
      </c>
      <c r="I1209" s="688"/>
      <c r="J1209" s="205"/>
    </row>
    <row r="1210" spans="1:12" x14ac:dyDescent="0.25">
      <c r="A1210" s="21">
        <f>A$8</f>
        <v>1484</v>
      </c>
      <c r="B1210" s="149">
        <f t="shared" si="733"/>
        <v>-7.3578595317725752E-3</v>
      </c>
      <c r="C1210" s="52">
        <f t="shared" ref="C1210:C1221" si="734">C1209+1</f>
        <v>4</v>
      </c>
      <c r="D1210" s="247">
        <f>'Appendix J-2'!S93</f>
        <v>26</v>
      </c>
      <c r="E1210" s="22">
        <f t="shared" si="731"/>
        <v>240.61538461538461</v>
      </c>
      <c r="F1210" s="247">
        <f>'Appendix J-2'!U93</f>
        <v>6256</v>
      </c>
      <c r="G1210" s="24">
        <f t="shared" si="732"/>
        <v>551</v>
      </c>
      <c r="H1210" s="248">
        <f>'Appendix J-2'!W93</f>
        <v>3447056</v>
      </c>
      <c r="I1210" s="688"/>
      <c r="J1210" s="205"/>
    </row>
    <row r="1211" spans="1:12" x14ac:dyDescent="0.25">
      <c r="A1211" s="21">
        <f>A$9</f>
        <v>1528</v>
      </c>
      <c r="B1211" s="149">
        <f t="shared" si="733"/>
        <v>2.9649595687331536E-2</v>
      </c>
      <c r="C1211" s="52">
        <f t="shared" si="734"/>
        <v>5</v>
      </c>
      <c r="D1211" s="247">
        <f>'Appendix J-2'!X93</f>
        <v>24</v>
      </c>
      <c r="E1211" s="22">
        <f t="shared" si="731"/>
        <v>270.29166666666669</v>
      </c>
      <c r="F1211" s="247">
        <f>'Appendix J-2'!Z93</f>
        <v>6487</v>
      </c>
      <c r="G1211" s="24">
        <f t="shared" si="732"/>
        <v>550.96701094496689</v>
      </c>
      <c r="H1211" s="248">
        <f>'Appendix J-2'!AB93</f>
        <v>3574123</v>
      </c>
      <c r="I1211" s="688"/>
      <c r="J1211" s="205"/>
    </row>
    <row r="1212" spans="1:12" x14ac:dyDescent="0.25">
      <c r="A1212" s="21">
        <f>A$10</f>
        <v>1592</v>
      </c>
      <c r="B1212" s="149">
        <f t="shared" si="733"/>
        <v>4.1884816753926704E-2</v>
      </c>
      <c r="C1212" s="52">
        <f t="shared" si="734"/>
        <v>6</v>
      </c>
      <c r="D1212" s="249">
        <f>'Appendix J-2'!AC93</f>
        <v>31</v>
      </c>
      <c r="E1212" s="22">
        <f t="shared" si="731"/>
        <v>212.87096774193549</v>
      </c>
      <c r="F1212" s="249">
        <f>'Appendix J-2'!AE93</f>
        <v>6599</v>
      </c>
      <c r="G1212" s="24">
        <f t="shared" si="732"/>
        <v>480.99045309895439</v>
      </c>
      <c r="H1212" s="248">
        <f>'Appendix J-2'!AG93</f>
        <v>3174056</v>
      </c>
      <c r="I1212" s="688"/>
      <c r="J1212" s="205"/>
    </row>
    <row r="1213" spans="1:12" x14ac:dyDescent="0.25">
      <c r="A1213" s="21">
        <f>A$11</f>
        <v>1642</v>
      </c>
      <c r="B1213" s="149">
        <f t="shared" si="733"/>
        <v>3.1407035175879394E-2</v>
      </c>
      <c r="C1213" s="20">
        <f t="shared" si="734"/>
        <v>7</v>
      </c>
      <c r="D1213" s="249">
        <f>'Appendix J-2'!AH93</f>
        <v>36</v>
      </c>
      <c r="E1213" s="22">
        <f t="shared" si="731"/>
        <v>141.94444444444446</v>
      </c>
      <c r="F1213" s="249">
        <f>'Appendix J-2'!AJ93</f>
        <v>5110</v>
      </c>
      <c r="G1213" s="24">
        <f t="shared" si="732"/>
        <v>486.94885714285715</v>
      </c>
      <c r="H1213" s="248">
        <f>'Appendix J-2'!AL93</f>
        <v>2488308.66</v>
      </c>
      <c r="I1213" s="688"/>
      <c r="J1213" s="205"/>
    </row>
    <row r="1214" spans="1:12" x14ac:dyDescent="0.25">
      <c r="A1214" s="21">
        <f>A$12</f>
        <v>1675</v>
      </c>
      <c r="B1214" s="149">
        <f t="shared" si="733"/>
        <v>2.0097442143727162E-2</v>
      </c>
      <c r="C1214" s="20">
        <f t="shared" si="734"/>
        <v>8</v>
      </c>
      <c r="D1214" s="249">
        <f>'Appendix J-2'!AM93</f>
        <v>19</v>
      </c>
      <c r="E1214" s="22">
        <f t="shared" si="731"/>
        <v>202.73684210526315</v>
      </c>
      <c r="F1214" s="249">
        <f>'Appendix J-2'!AO93</f>
        <v>3852</v>
      </c>
      <c r="G1214" s="24">
        <f t="shared" si="732"/>
        <v>520.8040732087228</v>
      </c>
      <c r="H1214" s="248">
        <f>'Appendix J-2'!AQ93</f>
        <v>2006137.29</v>
      </c>
      <c r="I1214" s="688"/>
      <c r="J1214" s="205"/>
    </row>
    <row r="1215" spans="1:12" x14ac:dyDescent="0.25">
      <c r="A1215" s="21">
        <f>A$13</f>
        <v>1739</v>
      </c>
      <c r="B1215" s="149">
        <f t="shared" si="733"/>
        <v>3.8208955223880597E-2</v>
      </c>
      <c r="C1215" s="20">
        <f t="shared" si="734"/>
        <v>9</v>
      </c>
      <c r="D1215" s="249">
        <f>'Appendix J-2'!AR93</f>
        <v>12</v>
      </c>
      <c r="E1215" s="22">
        <f t="shared" si="731"/>
        <v>207</v>
      </c>
      <c r="F1215" s="249">
        <f>'Appendix J-2'!AT93</f>
        <v>2484</v>
      </c>
      <c r="G1215" s="24">
        <f t="shared" si="732"/>
        <v>509.24504830917874</v>
      </c>
      <c r="H1215" s="248">
        <f>'Appendix J-2'!AV93</f>
        <v>1264964.7</v>
      </c>
      <c r="I1215" s="688"/>
      <c r="J1215" s="205"/>
    </row>
    <row r="1216" spans="1:12" x14ac:dyDescent="0.25">
      <c r="A1216" s="21">
        <f>A$14</f>
        <v>1752</v>
      </c>
      <c r="B1216" s="149">
        <f t="shared" si="733"/>
        <v>7.4755606670500289E-3</v>
      </c>
      <c r="C1216" s="20">
        <f t="shared" si="734"/>
        <v>10</v>
      </c>
      <c r="D1216" s="21">
        <f>ROUND(X1090,0)</f>
        <v>12</v>
      </c>
      <c r="E1216" s="22">
        <f>IF(TREND($E$1207:$E$1215,$C$1207:$C$1215,C1216)&lt;365,TREND($E$1207:$E$1215,$C$1207:$C$1215,C1216),365)</f>
        <v>212.71553778182246</v>
      </c>
      <c r="F1216" s="21">
        <f>D1216*E1216</f>
        <v>2552.5864533818694</v>
      </c>
      <c r="G1216" s="24">
        <f>'DDS Rates for Amend'!CI17</f>
        <v>499.56</v>
      </c>
      <c r="H1216" s="33">
        <f>F1216*G1216</f>
        <v>1275170.0886514466</v>
      </c>
      <c r="I1216" s="688"/>
      <c r="J1216" s="205"/>
    </row>
    <row r="1217" spans="1:12" x14ac:dyDescent="0.25">
      <c r="A1217" s="21">
        <f>A$15</f>
        <v>1822</v>
      </c>
      <c r="B1217" s="149">
        <f t="shared" si="733"/>
        <v>3.9954337899543377E-2</v>
      </c>
      <c r="C1217" s="20">
        <f t="shared" si="734"/>
        <v>11</v>
      </c>
      <c r="D1217" s="21">
        <f t="shared" ref="D1217:D1221" si="735">ROUND(X1091,0)</f>
        <v>12</v>
      </c>
      <c r="E1217" s="22">
        <f t="shared" ref="E1217:E1221" si="736">IF(TREND($E$1207:$E$1215,$C$1207:$C$1215,C1217)&lt;365,TREND($E$1207:$E$1215,$C$1207:$C$1215,C1217),365)</f>
        <v>214.25002584924772</v>
      </c>
      <c r="F1217" s="21">
        <f t="shared" ref="F1217:F1221" si="737">D1217*E1217</f>
        <v>2571.0003101909724</v>
      </c>
      <c r="G1217" s="24">
        <f>'DDS Rates for Amend'!CI18</f>
        <v>512.54999999999995</v>
      </c>
      <c r="H1217" s="33">
        <f t="shared" ref="H1217:H1221" si="738">F1217*G1217</f>
        <v>1317766.2089883827</v>
      </c>
      <c r="I1217" s="688"/>
      <c r="J1217" s="205"/>
    </row>
    <row r="1218" spans="1:12" x14ac:dyDescent="0.25">
      <c r="A1218" s="21">
        <f>A$16</f>
        <v>1872</v>
      </c>
      <c r="B1218" s="149">
        <f t="shared" si="733"/>
        <v>2.7442371020856202E-2</v>
      </c>
      <c r="C1218" s="20">
        <f t="shared" si="734"/>
        <v>12</v>
      </c>
      <c r="D1218" s="21">
        <f t="shared" si="735"/>
        <v>12</v>
      </c>
      <c r="E1218" s="22">
        <f t="shared" si="736"/>
        <v>215.78451391667295</v>
      </c>
      <c r="F1218" s="21">
        <f t="shared" si="737"/>
        <v>2589.4141670000754</v>
      </c>
      <c r="G1218" s="24">
        <f>'DDS Rates for Amend'!CI19</f>
        <v>525.8762999999999</v>
      </c>
      <c r="H1218" s="33">
        <f t="shared" si="738"/>
        <v>1361711.5413095816</v>
      </c>
      <c r="I1218" s="688"/>
      <c r="J1218" s="205"/>
    </row>
    <row r="1219" spans="1:12" x14ac:dyDescent="0.25">
      <c r="A1219" s="21">
        <f>A$17</f>
        <v>1902</v>
      </c>
      <c r="B1219" s="149">
        <f t="shared" si="733"/>
        <v>1.6025641025641024E-2</v>
      </c>
      <c r="C1219" s="20">
        <f t="shared" si="734"/>
        <v>13</v>
      </c>
      <c r="D1219" s="21">
        <f t="shared" si="735"/>
        <v>12</v>
      </c>
      <c r="E1219" s="22">
        <f t="shared" si="736"/>
        <v>217.31900198409821</v>
      </c>
      <c r="F1219" s="21">
        <f t="shared" si="737"/>
        <v>2607.8280238091784</v>
      </c>
      <c r="G1219" s="24">
        <f>'DDS Rates for Amend'!CI20</f>
        <v>539.54908379999995</v>
      </c>
      <c r="H1219" s="33">
        <f t="shared" si="738"/>
        <v>1407051.2209542065</v>
      </c>
      <c r="I1219" s="688"/>
      <c r="J1219" s="205"/>
    </row>
    <row r="1220" spans="1:12" x14ac:dyDescent="0.25">
      <c r="A1220" s="21">
        <f>A$18</f>
        <v>1932</v>
      </c>
      <c r="B1220" s="149">
        <f t="shared" si="733"/>
        <v>1.5772870662460567E-2</v>
      </c>
      <c r="C1220" s="20">
        <f t="shared" si="734"/>
        <v>14</v>
      </c>
      <c r="D1220" s="21">
        <f t="shared" si="735"/>
        <v>11</v>
      </c>
      <c r="E1220" s="22">
        <f t="shared" si="736"/>
        <v>218.85349005152347</v>
      </c>
      <c r="F1220" s="21">
        <f t="shared" si="737"/>
        <v>2407.3883905667581</v>
      </c>
      <c r="G1220" s="24">
        <f>'DDS Rates for Amend'!CI21</f>
        <v>553.5773599787999</v>
      </c>
      <c r="H1220" s="33">
        <f t="shared" si="738"/>
        <v>1332675.709693558</v>
      </c>
      <c r="I1220" s="688"/>
      <c r="J1220" s="205"/>
    </row>
    <row r="1221" spans="1:12" x14ac:dyDescent="0.25">
      <c r="A1221" s="21">
        <f>A$19</f>
        <v>1962</v>
      </c>
      <c r="B1221" s="149">
        <f t="shared" si="733"/>
        <v>1.5527950310559006E-2</v>
      </c>
      <c r="C1221" s="20">
        <f t="shared" si="734"/>
        <v>15</v>
      </c>
      <c r="D1221" s="21">
        <f t="shared" si="735"/>
        <v>11</v>
      </c>
      <c r="E1221" s="22">
        <f t="shared" si="736"/>
        <v>220.38797811894869</v>
      </c>
      <c r="F1221" s="21">
        <f t="shared" si="737"/>
        <v>2424.2677593084354</v>
      </c>
      <c r="G1221" s="24">
        <f>'DDS Rates for Amend'!CI22</f>
        <v>567.9703713382487</v>
      </c>
      <c r="H1221" s="33">
        <f t="shared" si="738"/>
        <v>1376912.2594777562</v>
      </c>
      <c r="I1221" s="689"/>
      <c r="J1221" s="205"/>
      <c r="K1221" s="287">
        <f>SUM(H1207:H1221)</f>
        <v>28150382.679074932</v>
      </c>
      <c r="L1221" s="17">
        <f>IF(K1221='Appendix J-2'!CD93,0,error)</f>
        <v>0</v>
      </c>
    </row>
    <row r="1222" spans="1:12" x14ac:dyDescent="0.25">
      <c r="C1222"/>
      <c r="I1222" s="568"/>
      <c r="J1222"/>
    </row>
    <row r="1223" spans="1:12" x14ac:dyDescent="0.25">
      <c r="A1223" s="271" t="s">
        <v>139</v>
      </c>
      <c r="B1223" s="272"/>
      <c r="C1223" s="272"/>
      <c r="D1223" s="292" t="str">
        <f>'Appendix J-2'!B95</f>
        <v>Visit</v>
      </c>
      <c r="E1223" s="223" t="str">
        <f>'Appendix J-2'!C95</f>
        <v>Service</v>
      </c>
      <c r="F1223" s="690"/>
      <c r="G1223" s="690"/>
      <c r="H1223" s="690"/>
      <c r="I1223" s="712" t="s">
        <v>1097</v>
      </c>
      <c r="J1223" s="565"/>
    </row>
    <row r="1224" spans="1:12" x14ac:dyDescent="0.25">
      <c r="A1224" s="147" t="s">
        <v>26</v>
      </c>
      <c r="B1224" s="147" t="s">
        <v>27</v>
      </c>
      <c r="C1224" s="146" t="s">
        <v>166</v>
      </c>
      <c r="D1224" s="91" t="s">
        <v>154</v>
      </c>
      <c r="E1224" s="89" t="s">
        <v>155</v>
      </c>
      <c r="F1224" s="34" t="s">
        <v>158</v>
      </c>
      <c r="G1224" s="35" t="s">
        <v>156</v>
      </c>
      <c r="H1224" s="51" t="s">
        <v>157</v>
      </c>
      <c r="I1224" s="688"/>
      <c r="J1224" s="205"/>
    </row>
    <row r="1225" spans="1:12" ht="15" customHeight="1" x14ac:dyDescent="0.25">
      <c r="A1225" s="21">
        <f>A$5</f>
        <v>1182</v>
      </c>
      <c r="B1225" s="148"/>
      <c r="C1225" s="144">
        <v>1</v>
      </c>
      <c r="D1225" s="247">
        <f>'Appendix J-2'!D95</f>
        <v>812</v>
      </c>
      <c r="E1225" s="23">
        <f>IF(F1225=0,0,F1225/D1225)</f>
        <v>1.8842364532019704</v>
      </c>
      <c r="F1225" s="247">
        <f>'Appendix J-2'!F95</f>
        <v>1530</v>
      </c>
      <c r="G1225" s="25">
        <f>H1225/F1225</f>
        <v>85.586124183006532</v>
      </c>
      <c r="H1225" s="250">
        <f>'Appendix J-2'!H95</f>
        <v>130946.77</v>
      </c>
      <c r="I1225" s="688"/>
      <c r="J1225" s="205"/>
    </row>
    <row r="1226" spans="1:12" x14ac:dyDescent="0.25">
      <c r="A1226" s="21">
        <f>A$6</f>
        <v>1288</v>
      </c>
      <c r="B1226" s="149">
        <f>(A1226-A1225)/A1225</f>
        <v>8.9678510998307953E-2</v>
      </c>
      <c r="C1226" s="52">
        <v>2</v>
      </c>
      <c r="D1226" s="247">
        <f>'Appendix J-2'!I95</f>
        <v>662</v>
      </c>
      <c r="E1226" s="23">
        <f t="shared" ref="E1226:E1233" si="739">IF(F1226=0,0,F1226/D1226)</f>
        <v>2.6631419939577041</v>
      </c>
      <c r="F1226" s="247">
        <f>'Appendix J-2'!K95</f>
        <v>1763</v>
      </c>
      <c r="G1226" s="25">
        <f t="shared" ref="G1226:G1233" si="740">H1226/F1226</f>
        <v>103.49968803176405</v>
      </c>
      <c r="H1226" s="250">
        <f>'Appendix J-2'!M95</f>
        <v>182469.95</v>
      </c>
      <c r="I1226" s="688"/>
      <c r="J1226" s="205"/>
    </row>
    <row r="1227" spans="1:12" x14ac:dyDescent="0.25">
      <c r="A1227" s="21">
        <f>A$7</f>
        <v>1495</v>
      </c>
      <c r="B1227" s="149">
        <f t="shared" ref="B1227:B1239" si="741">(A1227-A1226)/A1226</f>
        <v>0.16071428571428573</v>
      </c>
      <c r="C1227" s="52">
        <v>3</v>
      </c>
      <c r="D1227" s="247">
        <f>'Appendix J-2'!N95</f>
        <v>22</v>
      </c>
      <c r="E1227" s="23">
        <f t="shared" si="739"/>
        <v>1.4090909090909092</v>
      </c>
      <c r="F1227" s="247">
        <f>'Appendix J-2'!P95</f>
        <v>31</v>
      </c>
      <c r="G1227" s="25">
        <f t="shared" si="740"/>
        <v>124.08387096774193</v>
      </c>
      <c r="H1227" s="248">
        <f>'Appendix J-2'!R95</f>
        <v>3846.6</v>
      </c>
      <c r="I1227" s="688"/>
      <c r="J1227" s="205"/>
    </row>
    <row r="1228" spans="1:12" x14ac:dyDescent="0.25">
      <c r="A1228" s="21">
        <f>A$8</f>
        <v>1484</v>
      </c>
      <c r="B1228" s="149">
        <f t="shared" si="741"/>
        <v>-7.3578595317725752E-3</v>
      </c>
      <c r="C1228" s="52">
        <f t="shared" ref="C1228:C1239" si="742">C1227+1</f>
        <v>4</v>
      </c>
      <c r="D1228" s="247">
        <f>'Appendix J-2'!S95</f>
        <v>3</v>
      </c>
      <c r="E1228" s="23">
        <f t="shared" si="739"/>
        <v>1</v>
      </c>
      <c r="F1228" s="247">
        <f>'Appendix J-2'!U95</f>
        <v>3</v>
      </c>
      <c r="G1228" s="25">
        <f t="shared" si="740"/>
        <v>80.833333333333329</v>
      </c>
      <c r="H1228" s="248">
        <f>'Appendix J-2'!W95</f>
        <v>242.5</v>
      </c>
      <c r="I1228" s="688"/>
      <c r="J1228" s="205"/>
    </row>
    <row r="1229" spans="1:12" x14ac:dyDescent="0.25">
      <c r="A1229" s="21">
        <f>A$9</f>
        <v>1528</v>
      </c>
      <c r="B1229" s="149">
        <f t="shared" si="741"/>
        <v>2.9649595687331536E-2</v>
      </c>
      <c r="C1229" s="52">
        <f t="shared" si="742"/>
        <v>5</v>
      </c>
      <c r="D1229" s="247">
        <f>'Appendix J-2'!X95</f>
        <v>149</v>
      </c>
      <c r="E1229" s="23">
        <f t="shared" si="739"/>
        <v>1.261744966442953</v>
      </c>
      <c r="F1229" s="247">
        <f>'Appendix J-2'!Z95</f>
        <v>188</v>
      </c>
      <c r="G1229" s="25">
        <f t="shared" si="740"/>
        <v>122.84468085106383</v>
      </c>
      <c r="H1229" s="248">
        <f>'Appendix J-2'!AB95</f>
        <v>23094.799999999999</v>
      </c>
      <c r="I1229" s="688"/>
      <c r="J1229" s="205"/>
    </row>
    <row r="1230" spans="1:12" x14ac:dyDescent="0.25">
      <c r="A1230" s="21">
        <f>A$10</f>
        <v>1592</v>
      </c>
      <c r="B1230" s="149">
        <f t="shared" si="741"/>
        <v>4.1884816753926704E-2</v>
      </c>
      <c r="C1230" s="52">
        <f t="shared" si="742"/>
        <v>6</v>
      </c>
      <c r="D1230" s="249">
        <f>'Appendix J-2'!AC95</f>
        <v>106</v>
      </c>
      <c r="E1230" s="23">
        <f t="shared" si="739"/>
        <v>1.179245283018868</v>
      </c>
      <c r="F1230" s="249">
        <f>'Appendix J-2'!AE95</f>
        <v>125</v>
      </c>
      <c r="G1230" s="25">
        <f t="shared" si="740"/>
        <v>138.93600000000001</v>
      </c>
      <c r="H1230" s="248">
        <f>'Appendix J-2'!AG95</f>
        <v>17367</v>
      </c>
      <c r="I1230" s="688"/>
      <c r="J1230" s="205"/>
    </row>
    <row r="1231" spans="1:12" x14ac:dyDescent="0.25">
      <c r="A1231" s="21">
        <f>A$11</f>
        <v>1642</v>
      </c>
      <c r="B1231" s="149">
        <f t="shared" si="741"/>
        <v>3.1407035175879394E-2</v>
      </c>
      <c r="C1231" s="52">
        <f t="shared" si="742"/>
        <v>7</v>
      </c>
      <c r="D1231" s="249">
        <f>'Appendix J-2'!AH95</f>
        <v>141</v>
      </c>
      <c r="E1231" s="23">
        <f t="shared" si="739"/>
        <v>1.3120567375886525</v>
      </c>
      <c r="F1231" s="249">
        <f>'Appendix J-2'!AJ95</f>
        <v>185</v>
      </c>
      <c r="G1231" s="25">
        <f t="shared" si="740"/>
        <v>72.850810810810813</v>
      </c>
      <c r="H1231" s="248">
        <f>'Appendix J-2'!AL95</f>
        <v>13477.4</v>
      </c>
      <c r="I1231" s="688"/>
      <c r="J1231" s="205"/>
    </row>
    <row r="1232" spans="1:12" x14ac:dyDescent="0.25">
      <c r="A1232" s="21">
        <f>A$12</f>
        <v>1675</v>
      </c>
      <c r="B1232" s="149">
        <f t="shared" si="741"/>
        <v>2.0097442143727162E-2</v>
      </c>
      <c r="C1232" s="52">
        <f t="shared" si="742"/>
        <v>8</v>
      </c>
      <c r="D1232" s="249">
        <f>'Appendix J-2'!AM95</f>
        <v>134</v>
      </c>
      <c r="E1232" s="23">
        <f t="shared" si="739"/>
        <v>1.4925373134328359</v>
      </c>
      <c r="F1232" s="249">
        <f>'Appendix J-2'!AO95</f>
        <v>200</v>
      </c>
      <c r="G1232" s="25">
        <f t="shared" si="740"/>
        <v>68.92649999999999</v>
      </c>
      <c r="H1232" s="248">
        <f>'Appendix J-2'!AQ95</f>
        <v>13785.3</v>
      </c>
      <c r="I1232" s="688"/>
      <c r="J1232" s="205"/>
    </row>
    <row r="1233" spans="1:12" x14ac:dyDescent="0.25">
      <c r="A1233" s="21">
        <f>A$13</f>
        <v>1739</v>
      </c>
      <c r="B1233" s="149">
        <f t="shared" si="741"/>
        <v>3.8208955223880597E-2</v>
      </c>
      <c r="C1233" s="52">
        <f t="shared" si="742"/>
        <v>9</v>
      </c>
      <c r="D1233" s="249">
        <f>'Appendix J-2'!AR95</f>
        <v>108</v>
      </c>
      <c r="E1233" s="23">
        <f t="shared" si="739"/>
        <v>1.6666666666666667</v>
      </c>
      <c r="F1233" s="249">
        <f>'Appendix J-2'!AT95</f>
        <v>180</v>
      </c>
      <c r="G1233" s="25">
        <f t="shared" si="740"/>
        <v>78.237222222222229</v>
      </c>
      <c r="H1233" s="248">
        <f>'Appendix J-2'!AV95</f>
        <v>14082.7</v>
      </c>
      <c r="I1233" s="688"/>
      <c r="J1233" s="205"/>
    </row>
    <row r="1234" spans="1:12" x14ac:dyDescent="0.25">
      <c r="A1234" s="21">
        <f>A$14</f>
        <v>1752</v>
      </c>
      <c r="B1234" s="149">
        <f t="shared" si="741"/>
        <v>7.4755606670500289E-3</v>
      </c>
      <c r="C1234" s="52">
        <f t="shared" si="742"/>
        <v>10</v>
      </c>
      <c r="D1234" s="21">
        <f>ROUND(IF(TREND($D$1229:$D$1233,$A$1229:$A$1233,A1234)&gt;0,TREND($D$1229:$D$1233,$A$1229:$A$1233,A1234),0),0)</f>
        <v>114</v>
      </c>
      <c r="E1234" s="22">
        <f>IF(TREND($E$1225:$E$1233,$C$1225:$C$1233,C1234)&gt;0,TREND($E$1225:$E$1233,$C$1225:$C$1233,C1234),0)</f>
        <v>1.1745592375138292</v>
      </c>
      <c r="F1234" s="26">
        <f t="shared" ref="F1234" si="743">D1234*E1234</f>
        <v>133.89975307657653</v>
      </c>
      <c r="G1234" s="25">
        <f t="shared" ref="G1234" si="744">AVERAGE(G$1225:G$1228)</f>
        <v>98.500754128961461</v>
      </c>
      <c r="H1234" s="145">
        <f>F1234*G1234</f>
        <v>13189.226655724517</v>
      </c>
      <c r="I1234" s="688"/>
      <c r="J1234" s="205"/>
    </row>
    <row r="1235" spans="1:12" x14ac:dyDescent="0.25">
      <c r="A1235" s="21">
        <f>A$15</f>
        <v>1822</v>
      </c>
      <c r="B1235" s="149">
        <f t="shared" si="741"/>
        <v>3.9954337899543377E-2</v>
      </c>
      <c r="C1235" s="20">
        <f t="shared" si="742"/>
        <v>11</v>
      </c>
      <c r="D1235" s="21">
        <f t="shared" ref="D1235:D1239" si="745">ROUND(IF(TREND($D$1229:$D$1233,$A$1229:$A$1233,A1235)&gt;0,TREND($D$1229:$D$1233,$A$1229:$A$1233,A1235),0),0)</f>
        <v>105</v>
      </c>
      <c r="E1235" s="22">
        <f t="shared" ref="E1235:E1239" si="746">IF(TREND($E$1225:$E$1233,$C$1225:$C$1233,C1235)&gt;0,TREND($E$1225:$E$1233,$C$1225:$C$1233,C1235),0)</f>
        <v>1.1012773000521383</v>
      </c>
      <c r="F1235" s="26">
        <f t="shared" ref="F1235:F1239" si="747">D1235*E1235</f>
        <v>115.63411650547452</v>
      </c>
      <c r="G1235" s="25">
        <f>'DDS Rates for Amend'!CK18</f>
        <v>101.06177373631446</v>
      </c>
      <c r="H1235" s="145">
        <f t="shared" ref="H1235:H1239" si="748">F1235*G1235</f>
        <v>11686.188918474892</v>
      </c>
      <c r="I1235" s="688"/>
      <c r="J1235" s="205"/>
    </row>
    <row r="1236" spans="1:12" x14ac:dyDescent="0.25">
      <c r="A1236" s="21">
        <f>A$16</f>
        <v>1872</v>
      </c>
      <c r="B1236" s="149">
        <f t="shared" si="741"/>
        <v>2.7442371020856202E-2</v>
      </c>
      <c r="C1236" s="20">
        <f t="shared" si="742"/>
        <v>12</v>
      </c>
      <c r="D1236" s="21">
        <f t="shared" si="745"/>
        <v>100</v>
      </c>
      <c r="E1236" s="22">
        <f t="shared" si="746"/>
        <v>1.0279953625904472</v>
      </c>
      <c r="F1236" s="26">
        <f t="shared" si="747"/>
        <v>102.79953625904471</v>
      </c>
      <c r="G1236" s="25">
        <f>'DDS Rates for Amend'!CK19</f>
        <v>103.68937985345865</v>
      </c>
      <c r="H1236" s="145">
        <f t="shared" si="748"/>
        <v>10659.220163923483</v>
      </c>
      <c r="I1236" s="688"/>
      <c r="J1236" s="205"/>
    </row>
    <row r="1237" spans="1:12" x14ac:dyDescent="0.25">
      <c r="A1237" s="21">
        <f>A$17</f>
        <v>1902</v>
      </c>
      <c r="B1237" s="149">
        <f t="shared" si="741"/>
        <v>1.6025641025641024E-2</v>
      </c>
      <c r="C1237" s="20">
        <f t="shared" si="742"/>
        <v>13</v>
      </c>
      <c r="D1237" s="21">
        <f t="shared" si="745"/>
        <v>96</v>
      </c>
      <c r="E1237" s="22">
        <f t="shared" si="746"/>
        <v>0.95471342512875601</v>
      </c>
      <c r="F1237" s="26">
        <f t="shared" si="747"/>
        <v>91.652488812360573</v>
      </c>
      <c r="G1237" s="25">
        <f>'DDS Rates for Amend'!CK20</f>
        <v>106.38530372964857</v>
      </c>
      <c r="H1237" s="145">
        <f t="shared" si="748"/>
        <v>9750.4778598811972</v>
      </c>
      <c r="I1237" s="688"/>
      <c r="J1237" s="205"/>
    </row>
    <row r="1238" spans="1:12" x14ac:dyDescent="0.25">
      <c r="A1238" s="21">
        <f>A$18</f>
        <v>1932</v>
      </c>
      <c r="B1238" s="149">
        <f t="shared" si="741"/>
        <v>1.5772870662460567E-2</v>
      </c>
      <c r="C1238" s="20">
        <f t="shared" si="742"/>
        <v>14</v>
      </c>
      <c r="D1238" s="21">
        <f t="shared" si="745"/>
        <v>92</v>
      </c>
      <c r="E1238" s="22">
        <f t="shared" si="746"/>
        <v>0.88143148766706503</v>
      </c>
      <c r="F1238" s="26">
        <f t="shared" si="747"/>
        <v>81.091696865369983</v>
      </c>
      <c r="G1238" s="25">
        <f>'DDS Rates for Amend'!CK21</f>
        <v>109.15132162661943</v>
      </c>
      <c r="H1238" s="145">
        <f t="shared" si="748"/>
        <v>8851.2658858003251</v>
      </c>
      <c r="I1238" s="688"/>
      <c r="J1238" s="205"/>
    </row>
    <row r="1239" spans="1:12" x14ac:dyDescent="0.25">
      <c r="A1239" s="21">
        <f>A$19</f>
        <v>1962</v>
      </c>
      <c r="B1239" s="149">
        <f t="shared" si="741"/>
        <v>1.5527950310559006E-2</v>
      </c>
      <c r="C1239" s="20">
        <f t="shared" si="742"/>
        <v>15</v>
      </c>
      <c r="D1239" s="21">
        <f t="shared" si="745"/>
        <v>89</v>
      </c>
      <c r="E1239" s="22">
        <f t="shared" si="746"/>
        <v>0.80814955020537393</v>
      </c>
      <c r="F1239" s="26">
        <f t="shared" si="747"/>
        <v>71.925309968278285</v>
      </c>
      <c r="G1239" s="25">
        <f>'DDS Rates for Amend'!CK22</f>
        <v>111.98925598891154</v>
      </c>
      <c r="H1239" s="145">
        <f t="shared" si="748"/>
        <v>8054.861950119328</v>
      </c>
      <c r="I1239" s="689"/>
      <c r="J1239" s="205"/>
      <c r="K1239" s="285">
        <f>SUM(H1225:H1239)</f>
        <v>461504.26143392368</v>
      </c>
      <c r="L1239" s="17">
        <f>IF(K1239='Appendix J-2'!CD95,0,error)</f>
        <v>0</v>
      </c>
    </row>
    <row r="1240" spans="1:12" x14ac:dyDescent="0.25">
      <c r="C1240"/>
      <c r="I1240" s="568"/>
      <c r="J1240"/>
    </row>
    <row r="1241" spans="1:12" x14ac:dyDescent="0.25">
      <c r="A1241" s="271" t="s">
        <v>75</v>
      </c>
      <c r="B1241" s="272"/>
      <c r="C1241" s="272"/>
      <c r="D1241" s="273"/>
      <c r="E1241" s="223" t="str">
        <f>'Appendix J-2'!C96</f>
        <v>15 minutes</v>
      </c>
      <c r="F1241" s="690"/>
      <c r="G1241" s="690"/>
      <c r="H1241" s="690"/>
      <c r="I1241" s="687" t="s">
        <v>1135</v>
      </c>
      <c r="J1241" s="205"/>
    </row>
    <row r="1242" spans="1:12" x14ac:dyDescent="0.25">
      <c r="A1242" s="147" t="s">
        <v>26</v>
      </c>
      <c r="B1242" s="147" t="s">
        <v>27</v>
      </c>
      <c r="C1242" s="50" t="s">
        <v>166</v>
      </c>
      <c r="D1242" s="91" t="s">
        <v>154</v>
      </c>
      <c r="E1242" s="89" t="s">
        <v>155</v>
      </c>
      <c r="F1242" s="34" t="s">
        <v>158</v>
      </c>
      <c r="G1242" s="35" t="s">
        <v>156</v>
      </c>
      <c r="H1242" s="51" t="s">
        <v>157</v>
      </c>
      <c r="I1242" s="688"/>
      <c r="J1242" s="205"/>
    </row>
    <row r="1243" spans="1:12" x14ac:dyDescent="0.25">
      <c r="A1243" s="21">
        <f>A$5</f>
        <v>1182</v>
      </c>
      <c r="B1243" s="148"/>
      <c r="C1243" s="144">
        <v>1</v>
      </c>
      <c r="D1243" s="219"/>
      <c r="E1243" s="22"/>
      <c r="F1243" s="210">
        <f>'linked - DO NOT USE or DELETE'!F944</f>
        <v>0</v>
      </c>
      <c r="G1243" s="24"/>
      <c r="H1243" s="211">
        <f>'linked - DO NOT USE or DELETE'!H944</f>
        <v>0</v>
      </c>
      <c r="I1243" s="688"/>
      <c r="J1243" s="205"/>
    </row>
    <row r="1244" spans="1:12" x14ac:dyDescent="0.25">
      <c r="A1244" s="21">
        <f>A$6</f>
        <v>1288</v>
      </c>
      <c r="B1244" s="149">
        <f>(A1244-A1243)/A1243</f>
        <v>8.9678510998307953E-2</v>
      </c>
      <c r="C1244" s="52">
        <v>2</v>
      </c>
      <c r="D1244" s="219"/>
      <c r="E1244" s="22"/>
      <c r="F1244" s="210">
        <f>'linked - DO NOT USE or DELETE'!K944</f>
        <v>0</v>
      </c>
      <c r="G1244" s="24"/>
      <c r="H1244" s="211">
        <f>'linked - DO NOT USE or DELETE'!M944</f>
        <v>0</v>
      </c>
      <c r="I1244" s="688"/>
      <c r="J1244" s="205"/>
    </row>
    <row r="1245" spans="1:12" x14ac:dyDescent="0.25">
      <c r="A1245" s="21">
        <f>A$7</f>
        <v>1495</v>
      </c>
      <c r="B1245" s="149">
        <f t="shared" ref="B1245:B1257" si="749">(A1245-A1244)/A1244</f>
        <v>0.16071428571428573</v>
      </c>
      <c r="C1245" s="52">
        <v>3</v>
      </c>
      <c r="D1245" s="219"/>
      <c r="E1245" s="22"/>
      <c r="F1245" s="210">
        <f>'linked - DO NOT USE or DELETE'!P944</f>
        <v>0</v>
      </c>
      <c r="G1245" s="24"/>
      <c r="H1245" s="33">
        <f>'linked - DO NOT USE or DELETE'!R944</f>
        <v>0</v>
      </c>
      <c r="I1245" s="688"/>
      <c r="J1245" s="205"/>
    </row>
    <row r="1246" spans="1:12" x14ac:dyDescent="0.25">
      <c r="A1246" s="21">
        <f>A$8</f>
        <v>1484</v>
      </c>
      <c r="B1246" s="149">
        <f t="shared" si="749"/>
        <v>-7.3578595317725752E-3</v>
      </c>
      <c r="C1246" s="52">
        <f t="shared" ref="C1246:C1257" si="750">C1245+1</f>
        <v>4</v>
      </c>
      <c r="D1246" s="219"/>
      <c r="E1246" s="22"/>
      <c r="F1246" s="210">
        <f>'linked - DO NOT USE or DELETE'!U944</f>
        <v>0</v>
      </c>
      <c r="G1246" s="24"/>
      <c r="H1246" s="33">
        <f>'linked - DO NOT USE or DELETE'!W944</f>
        <v>0</v>
      </c>
      <c r="I1246" s="688"/>
      <c r="J1246" s="205"/>
    </row>
    <row r="1247" spans="1:12" x14ac:dyDescent="0.25">
      <c r="A1247" s="21">
        <f>A$9</f>
        <v>1528</v>
      </c>
      <c r="B1247" s="149">
        <f t="shared" si="749"/>
        <v>2.9649595687331536E-2</v>
      </c>
      <c r="C1247" s="52">
        <f t="shared" si="750"/>
        <v>5</v>
      </c>
      <c r="D1247" s="26"/>
      <c r="E1247" s="22"/>
      <c r="F1247" s="21">
        <f t="shared" ref="F1247:F1252" si="751">D1247*E1247</f>
        <v>0</v>
      </c>
      <c r="G1247" s="24"/>
      <c r="H1247" s="33">
        <f t="shared" ref="H1247:H1252" si="752">F1247*G1247</f>
        <v>0</v>
      </c>
      <c r="I1247" s="688"/>
      <c r="J1247" s="205"/>
    </row>
    <row r="1248" spans="1:12" x14ac:dyDescent="0.25">
      <c r="A1248" s="21">
        <f>A$10</f>
        <v>1592</v>
      </c>
      <c r="B1248" s="149">
        <f t="shared" si="749"/>
        <v>4.1884816753926704E-2</v>
      </c>
      <c r="C1248" s="52">
        <f t="shared" si="750"/>
        <v>6</v>
      </c>
      <c r="D1248" s="26"/>
      <c r="E1248" s="23"/>
      <c r="F1248" s="21">
        <f t="shared" si="751"/>
        <v>0</v>
      </c>
      <c r="G1248" s="25"/>
      <c r="H1248" s="33">
        <f t="shared" si="752"/>
        <v>0</v>
      </c>
      <c r="I1248" s="688"/>
      <c r="J1248" s="205"/>
    </row>
    <row r="1249" spans="1:17" x14ac:dyDescent="0.25">
      <c r="A1249" s="21">
        <f>A$11</f>
        <v>1642</v>
      </c>
      <c r="B1249" s="149">
        <f t="shared" si="749"/>
        <v>3.1407035175879394E-2</v>
      </c>
      <c r="C1249" s="20">
        <f t="shared" si="750"/>
        <v>7</v>
      </c>
      <c r="D1249" s="249">
        <f>'Appendix J-2'!AH96</f>
        <v>114</v>
      </c>
      <c r="E1249" s="23">
        <f t="shared" ref="E1249:E1251" si="753">IF(F1249=0,0,F1249/D1249)</f>
        <v>589.33333333333337</v>
      </c>
      <c r="F1249" s="249">
        <f>'Appendix J-2'!AJ96</f>
        <v>67184</v>
      </c>
      <c r="G1249" s="25">
        <f t="shared" ref="G1249:G1251" si="754">H1249/F1249</f>
        <v>6.0364601690878779</v>
      </c>
      <c r="H1249" s="248">
        <f>'Appendix J-2'!AL96</f>
        <v>405553.54</v>
      </c>
      <c r="I1249" s="688"/>
      <c r="J1249" s="205"/>
    </row>
    <row r="1250" spans="1:17" x14ac:dyDescent="0.25">
      <c r="A1250" s="21">
        <f>A$12</f>
        <v>1675</v>
      </c>
      <c r="B1250" s="149">
        <f t="shared" si="749"/>
        <v>2.0097442143727162E-2</v>
      </c>
      <c r="C1250" s="20">
        <f t="shared" si="750"/>
        <v>8</v>
      </c>
      <c r="D1250" s="249">
        <f>'Appendix J-2'!AM96</f>
        <v>217</v>
      </c>
      <c r="E1250" s="23">
        <f t="shared" si="753"/>
        <v>1341.9539170506912</v>
      </c>
      <c r="F1250" s="249">
        <f>'Appendix J-2'!AO96</f>
        <v>291204</v>
      </c>
      <c r="G1250" s="25">
        <f t="shared" si="754"/>
        <v>5.9759576791527591</v>
      </c>
      <c r="H1250" s="248">
        <f>'Appendix J-2'!AQ96</f>
        <v>1740222.78</v>
      </c>
      <c r="I1250" s="688"/>
      <c r="J1250" s="205"/>
    </row>
    <row r="1251" spans="1:17" x14ac:dyDescent="0.25">
      <c r="A1251" s="21">
        <f>A$13</f>
        <v>1739</v>
      </c>
      <c r="B1251" s="149">
        <f t="shared" si="749"/>
        <v>3.8208955223880597E-2</v>
      </c>
      <c r="C1251" s="20">
        <f t="shared" si="750"/>
        <v>9</v>
      </c>
      <c r="D1251" s="249">
        <f>'Appendix J-2'!AR96</f>
        <v>248</v>
      </c>
      <c r="E1251" s="23">
        <f t="shared" si="753"/>
        <v>1557.1048387096773</v>
      </c>
      <c r="F1251" s="249">
        <f>'Appendix J-2'!AT96</f>
        <v>386162</v>
      </c>
      <c r="G1251" s="25">
        <f t="shared" si="754"/>
        <v>5.3143218649167965</v>
      </c>
      <c r="H1251" s="248">
        <f>'Appendix J-2'!AV96</f>
        <v>2052189.16</v>
      </c>
      <c r="I1251" s="688"/>
      <c r="J1251" s="205"/>
    </row>
    <row r="1252" spans="1:17" x14ac:dyDescent="0.25">
      <c r="A1252" s="21">
        <f>A$14</f>
        <v>1752</v>
      </c>
      <c r="B1252" s="149">
        <f t="shared" si="749"/>
        <v>7.4755606670500289E-3</v>
      </c>
      <c r="C1252" s="20">
        <f t="shared" si="750"/>
        <v>10</v>
      </c>
      <c r="D1252" s="21">
        <f>ROUND((TREND($D$1250:$D$1251,$A$1250:$A$1251,A1252)),0)</f>
        <v>254</v>
      </c>
      <c r="E1252" s="22">
        <f>IF(TREND($E$1250:$E$1251,$C$1250:$C$1251,C1252)&lt;6240,TREND($E$1250:$E$1251,$C$1250:$C$1251,C1252),6240)-685</f>
        <v>1087.2557603686637</v>
      </c>
      <c r="F1252" s="21">
        <f t="shared" si="751"/>
        <v>276162.96313364059</v>
      </c>
      <c r="G1252" s="24">
        <f>'DDS Rates for Amend'!CM17</f>
        <v>5.36</v>
      </c>
      <c r="H1252" s="33">
        <f t="shared" si="752"/>
        <v>1480233.4823963137</v>
      </c>
      <c r="I1252" s="688"/>
      <c r="J1252" s="205"/>
      <c r="O1252" s="31" t="s">
        <v>538</v>
      </c>
      <c r="P1252" s="31" t="s">
        <v>540</v>
      </c>
      <c r="Q1252" s="31" t="s">
        <v>539</v>
      </c>
    </row>
    <row r="1253" spans="1:17" x14ac:dyDescent="0.25">
      <c r="A1253" s="21">
        <f>A$15</f>
        <v>1822</v>
      </c>
      <c r="B1253" s="149">
        <f t="shared" si="749"/>
        <v>3.9954337899543377E-2</v>
      </c>
      <c r="C1253" s="20">
        <f t="shared" si="750"/>
        <v>11</v>
      </c>
      <c r="D1253" s="21">
        <f>ROUND((TREND($D$1250:$D$1251,$A$1250:$A$1251,A1253)),0)+O1253</f>
        <v>338</v>
      </c>
      <c r="E1253" s="22">
        <f>E1252</f>
        <v>1087.2557603686637</v>
      </c>
      <c r="F1253" s="21">
        <f t="shared" ref="F1253:F1257" si="755">D1253*E1253</f>
        <v>367492.44700460834</v>
      </c>
      <c r="G1253" s="24">
        <f>'DDS Rates for Amend'!CM18</f>
        <v>6.08</v>
      </c>
      <c r="H1253" s="33">
        <f t="shared" ref="H1253:H1257" si="756">F1253*G1253</f>
        <v>2234354.0777880186</v>
      </c>
      <c r="I1253" s="688"/>
      <c r="J1253" s="205"/>
      <c r="N1253" s="31" t="s">
        <v>511</v>
      </c>
      <c r="O1253" s="31">
        <f>20+30</f>
        <v>50</v>
      </c>
      <c r="P1253" s="31">
        <f>(20*6)+(30*3)</f>
        <v>210</v>
      </c>
      <c r="Q1253" s="176">
        <f>P1253/O1253</f>
        <v>4.2</v>
      </c>
    </row>
    <row r="1254" spans="1:17" x14ac:dyDescent="0.25">
      <c r="A1254" s="21">
        <f>A$16</f>
        <v>1872</v>
      </c>
      <c r="B1254" s="149">
        <f t="shared" si="749"/>
        <v>2.7442371020856202E-2</v>
      </c>
      <c r="C1254" s="20">
        <f t="shared" si="750"/>
        <v>12</v>
      </c>
      <c r="D1254" s="21">
        <f>ROUND((TREND($D$1250:$D$1251,$A$1250:$A$1251,A1254)),0)+O1254</f>
        <v>382</v>
      </c>
      <c r="E1254" s="22">
        <f>E1253</f>
        <v>1087.2557603686637</v>
      </c>
      <c r="F1254" s="21">
        <f t="shared" si="755"/>
        <v>415331.70046082954</v>
      </c>
      <c r="G1254" s="24">
        <f>'DDS Rates for Amend'!CM19</f>
        <v>6.2380800000000001</v>
      </c>
      <c r="H1254" s="33">
        <f t="shared" si="756"/>
        <v>2590872.3740106914</v>
      </c>
      <c r="I1254" s="688"/>
      <c r="J1254" s="205"/>
      <c r="N1254" s="31" t="s">
        <v>512</v>
      </c>
      <c r="O1254" s="31">
        <f>40+30</f>
        <v>70</v>
      </c>
      <c r="P1254" s="31">
        <f>(40*6)+(30*3)</f>
        <v>330</v>
      </c>
      <c r="Q1254" s="176">
        <f t="shared" ref="Q1254:Q1257" si="757">P1254/O1254</f>
        <v>4.7142857142857144</v>
      </c>
    </row>
    <row r="1255" spans="1:17" x14ac:dyDescent="0.25">
      <c r="A1255" s="21">
        <f>A$17</f>
        <v>1902</v>
      </c>
      <c r="B1255" s="149">
        <f t="shared" si="749"/>
        <v>1.6025641025641024E-2</v>
      </c>
      <c r="C1255" s="20">
        <f t="shared" si="750"/>
        <v>13</v>
      </c>
      <c r="D1255" s="21">
        <f>ROUND((TREND($D$1250:$D$1251,$A$1250:$A$1251,A1255)),0)+O1255</f>
        <v>420</v>
      </c>
      <c r="E1255" s="22">
        <f>E1254</f>
        <v>1087.2557603686637</v>
      </c>
      <c r="F1255" s="21">
        <f t="shared" si="755"/>
        <v>456647.41935483873</v>
      </c>
      <c r="G1255" s="24">
        <f>'DDS Rates for Amend'!CM20</f>
        <v>6.4002700800000003</v>
      </c>
      <c r="H1255" s="33">
        <f t="shared" si="756"/>
        <v>2922666.8152059875</v>
      </c>
      <c r="I1255" s="688"/>
      <c r="J1255" s="205"/>
      <c r="N1255" s="31" t="s">
        <v>513</v>
      </c>
      <c r="O1255" s="31">
        <f>60+33</f>
        <v>93</v>
      </c>
      <c r="P1255" s="31">
        <f>(60*6)+(33*3)</f>
        <v>459</v>
      </c>
      <c r="Q1255" s="176">
        <f t="shared" si="757"/>
        <v>4.935483870967742</v>
      </c>
    </row>
    <row r="1256" spans="1:17" x14ac:dyDescent="0.25">
      <c r="A1256" s="21">
        <f>A$18</f>
        <v>1932</v>
      </c>
      <c r="B1256" s="149">
        <f t="shared" si="749"/>
        <v>1.5772870662460567E-2</v>
      </c>
      <c r="C1256" s="20">
        <f t="shared" si="750"/>
        <v>14</v>
      </c>
      <c r="D1256" s="21">
        <f>ROUND((TREND($D$1250:$D$1251,$A$1250:$A$1251,A1256)),0)+O1256</f>
        <v>436</v>
      </c>
      <c r="E1256" s="22">
        <f>E1255</f>
        <v>1087.2557603686637</v>
      </c>
      <c r="F1256" s="21">
        <f t="shared" si="755"/>
        <v>474043.51152073737</v>
      </c>
      <c r="G1256" s="24">
        <f>'DDS Rates for Amend'!CM21</f>
        <v>6.5666771020799999</v>
      </c>
      <c r="H1256" s="33">
        <f t="shared" si="756"/>
        <v>3112890.6724928226</v>
      </c>
      <c r="I1256" s="688"/>
      <c r="J1256" s="205"/>
      <c r="N1256" s="31" t="s">
        <v>514</v>
      </c>
      <c r="O1256" s="31">
        <f>60+35</f>
        <v>95</v>
      </c>
      <c r="P1256" s="31">
        <f>(60*6)+(35*3)</f>
        <v>465</v>
      </c>
      <c r="Q1256" s="176">
        <f t="shared" si="757"/>
        <v>4.8947368421052628</v>
      </c>
    </row>
    <row r="1257" spans="1:17" x14ac:dyDescent="0.25">
      <c r="A1257" s="21">
        <f>A$19</f>
        <v>1962</v>
      </c>
      <c r="B1257" s="149">
        <f t="shared" si="749"/>
        <v>1.5527950310559006E-2</v>
      </c>
      <c r="C1257" s="20">
        <f t="shared" si="750"/>
        <v>15</v>
      </c>
      <c r="D1257" s="21">
        <f>ROUND((TREND($D$1250:$D$1251,$A$1250:$A$1251,A1257)),0)+O1257</f>
        <v>451</v>
      </c>
      <c r="E1257" s="22">
        <f>E1256</f>
        <v>1087.2557603686637</v>
      </c>
      <c r="F1257" s="21">
        <f t="shared" si="755"/>
        <v>490352.34792626731</v>
      </c>
      <c r="G1257" s="24">
        <f>'DDS Rates for Amend'!CM22</f>
        <v>6.7374107067340798</v>
      </c>
      <c r="H1257" s="33">
        <f t="shared" si="756"/>
        <v>3303705.1589906281</v>
      </c>
      <c r="I1257" s="689"/>
      <c r="J1257" s="205"/>
      <c r="K1257" s="285">
        <f>SUM(H1243:H1257)</f>
        <v>19842688.060884461</v>
      </c>
      <c r="L1257" s="17">
        <f>IF(K1257='Appendix J-2'!CD96,0,error)</f>
        <v>0</v>
      </c>
      <c r="N1257" s="31" t="s">
        <v>515</v>
      </c>
      <c r="O1257" s="31">
        <f>60+35</f>
        <v>95</v>
      </c>
      <c r="P1257" s="31">
        <f>(60*6)+(35*3)</f>
        <v>465</v>
      </c>
      <c r="Q1257" s="176">
        <f t="shared" si="757"/>
        <v>4.8947368421052628</v>
      </c>
    </row>
    <row r="1258" spans="1:17" x14ac:dyDescent="0.25">
      <c r="A1258" s="153"/>
      <c r="B1258" s="154"/>
      <c r="C1258" s="158"/>
      <c r="D1258" s="153"/>
      <c r="E1258" s="213"/>
      <c r="F1258" s="153"/>
      <c r="G1258" s="214"/>
      <c r="H1258" s="199"/>
      <c r="I1258" s="571"/>
      <c r="J1258" s="159"/>
    </row>
    <row r="1259" spans="1:17" x14ac:dyDescent="0.25">
      <c r="A1259" s="272" t="s">
        <v>369</v>
      </c>
      <c r="B1259" s="272"/>
      <c r="C1259" s="272"/>
      <c r="D1259" s="273"/>
      <c r="E1259" s="223" t="str">
        <f>'Appendix J-2'!C53</f>
        <v>15 minutes</v>
      </c>
      <c r="F1259" s="690"/>
      <c r="G1259" s="690"/>
      <c r="H1259" s="690"/>
      <c r="I1259" s="687" t="s">
        <v>1073</v>
      </c>
      <c r="J1259" s="205"/>
    </row>
    <row r="1260" spans="1:17" x14ac:dyDescent="0.25">
      <c r="A1260" s="147" t="s">
        <v>26</v>
      </c>
      <c r="B1260" s="147" t="s">
        <v>27</v>
      </c>
      <c r="C1260" s="51" t="s">
        <v>166</v>
      </c>
      <c r="D1260" s="91" t="s">
        <v>154</v>
      </c>
      <c r="E1260" s="89" t="s">
        <v>155</v>
      </c>
      <c r="F1260" s="34" t="s">
        <v>158</v>
      </c>
      <c r="G1260" s="35" t="s">
        <v>156</v>
      </c>
      <c r="H1260" s="51" t="s">
        <v>157</v>
      </c>
      <c r="I1260" s="688"/>
      <c r="J1260" s="205"/>
    </row>
    <row r="1261" spans="1:17" ht="15" customHeight="1" x14ac:dyDescent="0.25">
      <c r="A1261" s="21">
        <f>A$5</f>
        <v>1182</v>
      </c>
      <c r="B1261" s="148"/>
      <c r="C1261" s="144">
        <v>1</v>
      </c>
      <c r="D1261" s="210">
        <f>'linked - DO NOT USE or DELETE'!D515</f>
        <v>0</v>
      </c>
      <c r="E1261" s="22">
        <v>0</v>
      </c>
      <c r="F1261" s="210">
        <f>'linked - DO NOT USE or DELETE'!F515</f>
        <v>0</v>
      </c>
      <c r="G1261" s="24">
        <v>0</v>
      </c>
      <c r="H1261" s="211">
        <f>'linked - DO NOT USE or DELETE'!H515</f>
        <v>0</v>
      </c>
      <c r="I1261" s="688"/>
      <c r="J1261" s="205"/>
    </row>
    <row r="1262" spans="1:17" x14ac:dyDescent="0.25">
      <c r="A1262" s="21">
        <f>A$6</f>
        <v>1288</v>
      </c>
      <c r="B1262" s="149">
        <f>(A1262-A1261)/A1261</f>
        <v>8.9678510998307953E-2</v>
      </c>
      <c r="C1262" s="52">
        <v>2</v>
      </c>
      <c r="D1262" s="210">
        <f>'linked - DO NOT USE or DELETE'!I515</f>
        <v>0</v>
      </c>
      <c r="E1262" s="22">
        <v>0</v>
      </c>
      <c r="F1262" s="210">
        <f>'linked - DO NOT USE or DELETE'!K515</f>
        <v>0</v>
      </c>
      <c r="G1262" s="24">
        <v>0</v>
      </c>
      <c r="H1262" s="211">
        <f>'linked - DO NOT USE or DELETE'!M515</f>
        <v>0</v>
      </c>
      <c r="I1262" s="688"/>
      <c r="J1262" s="205"/>
    </row>
    <row r="1263" spans="1:17" x14ac:dyDescent="0.25">
      <c r="A1263" s="21">
        <f>A$7</f>
        <v>1495</v>
      </c>
      <c r="B1263" s="149">
        <f t="shared" ref="B1263:B1275" si="758">(A1263-A1262)/A1262</f>
        <v>0.16071428571428573</v>
      </c>
      <c r="C1263" s="52">
        <v>3</v>
      </c>
      <c r="D1263" s="210">
        <f>'linked - DO NOT USE or DELETE'!N515</f>
        <v>0</v>
      </c>
      <c r="E1263" s="22">
        <v>0</v>
      </c>
      <c r="F1263" s="210">
        <f>'linked - DO NOT USE or DELETE'!P515</f>
        <v>0</v>
      </c>
      <c r="G1263" s="24">
        <v>0</v>
      </c>
      <c r="H1263" s="33">
        <f>'linked - DO NOT USE or DELETE'!R515</f>
        <v>0</v>
      </c>
      <c r="I1263" s="688"/>
      <c r="J1263" s="205"/>
    </row>
    <row r="1264" spans="1:17" x14ac:dyDescent="0.25">
      <c r="A1264" s="21">
        <f>A$8</f>
        <v>1484</v>
      </c>
      <c r="B1264" s="149">
        <f t="shared" si="758"/>
        <v>-7.3578595317725752E-3</v>
      </c>
      <c r="C1264" s="52">
        <f t="shared" ref="C1264:C1275" si="759">C1263+1</f>
        <v>4</v>
      </c>
      <c r="D1264" s="219">
        <f>'linked - DO NOT USE or DELETE'!S515</f>
        <v>0</v>
      </c>
      <c r="E1264" s="23">
        <v>0</v>
      </c>
      <c r="F1264" s="219">
        <f>'linked - DO NOT USE or DELETE'!U515</f>
        <v>0</v>
      </c>
      <c r="G1264" s="25">
        <v>0</v>
      </c>
      <c r="H1264" s="145">
        <f>'linked - DO NOT USE or DELETE'!W515</f>
        <v>0</v>
      </c>
      <c r="I1264" s="688"/>
      <c r="J1264" s="205"/>
    </row>
    <row r="1265" spans="1:12" x14ac:dyDescent="0.25">
      <c r="A1265" s="21">
        <f>A$9</f>
        <v>1528</v>
      </c>
      <c r="B1265" s="149">
        <f t="shared" si="758"/>
        <v>2.9649595687331536E-2</v>
      </c>
      <c r="C1265" s="52">
        <f t="shared" si="759"/>
        <v>5</v>
      </c>
      <c r="D1265" s="26">
        <f>D1264*1.0252</f>
        <v>0</v>
      </c>
      <c r="E1265" s="23">
        <v>0</v>
      </c>
      <c r="F1265" s="26">
        <f t="shared" ref="F1265:F1270" si="760">D1265*E1265</f>
        <v>0</v>
      </c>
      <c r="G1265" s="25">
        <v>0</v>
      </c>
      <c r="H1265" s="145">
        <f t="shared" ref="H1265:H1270" si="761">F1265*G1265</f>
        <v>0</v>
      </c>
      <c r="I1265" s="688"/>
      <c r="J1265" s="205"/>
    </row>
    <row r="1266" spans="1:12" x14ac:dyDescent="0.25">
      <c r="A1266" s="21">
        <f>A$10</f>
        <v>1592</v>
      </c>
      <c r="B1266" s="149">
        <f t="shared" si="758"/>
        <v>4.1884816753926704E-2</v>
      </c>
      <c r="C1266" s="52">
        <f t="shared" si="759"/>
        <v>6</v>
      </c>
      <c r="D1266" s="249">
        <f>'Appendix J-2'!AC53</f>
        <v>2</v>
      </c>
      <c r="E1266" s="23">
        <f t="shared" ref="E1266:E1269" si="762">IF(F1266=0,0,F1266/D1266)</f>
        <v>137</v>
      </c>
      <c r="F1266" s="249">
        <f>'Appendix J-2'!AE53</f>
        <v>274</v>
      </c>
      <c r="G1266" s="25">
        <f t="shared" ref="G1266:G1269" si="763">H1266/F1266</f>
        <v>10.67</v>
      </c>
      <c r="H1266" s="248">
        <f>'Appendix J-2'!AG53</f>
        <v>2923.58</v>
      </c>
      <c r="I1266" s="688"/>
      <c r="J1266" s="205"/>
    </row>
    <row r="1267" spans="1:12" x14ac:dyDescent="0.25">
      <c r="A1267" s="21">
        <f>A$11</f>
        <v>1642</v>
      </c>
      <c r="B1267" s="149">
        <f t="shared" si="758"/>
        <v>3.1407035175879394E-2</v>
      </c>
      <c r="C1267" s="20">
        <f t="shared" si="759"/>
        <v>7</v>
      </c>
      <c r="D1267" s="249">
        <f>'Appendix J-2'!AH53</f>
        <v>64</v>
      </c>
      <c r="E1267" s="23">
        <f t="shared" si="762"/>
        <v>695.90625</v>
      </c>
      <c r="F1267" s="249">
        <f>'Appendix J-2'!AJ53</f>
        <v>44538</v>
      </c>
      <c r="G1267" s="25">
        <f t="shared" si="763"/>
        <v>10.594835196910504</v>
      </c>
      <c r="H1267" s="248">
        <f>'Appendix J-2'!AL53</f>
        <v>471872.77</v>
      </c>
      <c r="I1267" s="688"/>
      <c r="J1267" s="205"/>
    </row>
    <row r="1268" spans="1:12" x14ac:dyDescent="0.25">
      <c r="A1268" s="21">
        <f>A$12</f>
        <v>1675</v>
      </c>
      <c r="B1268" s="149">
        <f t="shared" si="758"/>
        <v>2.0097442143727162E-2</v>
      </c>
      <c r="C1268" s="20">
        <f t="shared" si="759"/>
        <v>8</v>
      </c>
      <c r="D1268" s="249">
        <f>'Appendix J-2'!AM53</f>
        <v>88</v>
      </c>
      <c r="E1268" s="23">
        <f t="shared" si="762"/>
        <v>811.7045454545455</v>
      </c>
      <c r="F1268" s="249">
        <f>'Appendix J-2'!AO53</f>
        <v>71430</v>
      </c>
      <c r="G1268" s="25">
        <f t="shared" si="763"/>
        <v>9.8123369732605337</v>
      </c>
      <c r="H1268" s="248">
        <f>'Appendix J-2'!AQ53</f>
        <v>700895.23</v>
      </c>
      <c r="I1268" s="688"/>
      <c r="J1268" s="205"/>
    </row>
    <row r="1269" spans="1:12" x14ac:dyDescent="0.25">
      <c r="A1269" s="21">
        <f>A$13</f>
        <v>1739</v>
      </c>
      <c r="B1269" s="149">
        <f t="shared" si="758"/>
        <v>3.8208955223880597E-2</v>
      </c>
      <c r="C1269" s="20">
        <f t="shared" si="759"/>
        <v>9</v>
      </c>
      <c r="D1269" s="249">
        <f>'Appendix J-2'!AR53</f>
        <v>48</v>
      </c>
      <c r="E1269" s="23">
        <f t="shared" si="762"/>
        <v>749.5625</v>
      </c>
      <c r="F1269" s="249">
        <f>'Appendix J-2'!AT53</f>
        <v>35979</v>
      </c>
      <c r="G1269" s="25">
        <f t="shared" si="763"/>
        <v>4.8867997998832653</v>
      </c>
      <c r="H1269" s="248">
        <f>'Appendix J-2'!AV53</f>
        <v>175822.17</v>
      </c>
      <c r="I1269" s="688"/>
      <c r="J1269" s="205"/>
    </row>
    <row r="1270" spans="1:12" x14ac:dyDescent="0.25">
      <c r="A1270" s="21">
        <f>A$14</f>
        <v>1752</v>
      </c>
      <c r="B1270" s="149">
        <f t="shared" si="758"/>
        <v>7.4755606670500289E-3</v>
      </c>
      <c r="C1270" s="20">
        <f t="shared" si="759"/>
        <v>10</v>
      </c>
      <c r="D1270" s="21">
        <v>10</v>
      </c>
      <c r="E1270" s="22">
        <f>TREND($E$1267:$E$1269,$C$1267:$C$1269,C1270)</f>
        <v>806.0473484848485</v>
      </c>
      <c r="F1270" s="21">
        <f t="shared" si="760"/>
        <v>8060.473484848485</v>
      </c>
      <c r="G1270" s="24">
        <f>'DDS Rates for Amend'!AU17</f>
        <v>2.88</v>
      </c>
      <c r="H1270" s="33">
        <f t="shared" si="761"/>
        <v>23214.163636363635</v>
      </c>
      <c r="I1270" s="688"/>
      <c r="J1270" s="205"/>
    </row>
    <row r="1271" spans="1:12" x14ac:dyDescent="0.25">
      <c r="A1271" s="21">
        <f>A$15</f>
        <v>1822</v>
      </c>
      <c r="B1271" s="149">
        <f t="shared" si="758"/>
        <v>3.9954337899543377E-2</v>
      </c>
      <c r="C1271" s="20">
        <f t="shared" si="759"/>
        <v>11</v>
      </c>
      <c r="D1271" s="21">
        <v>10</v>
      </c>
      <c r="E1271" s="22">
        <f t="shared" ref="E1271:E1275" si="764">TREND($E$1267:$E$1269,$A$1267:$A$1269,A1271)</f>
        <v>799.6720067867243</v>
      </c>
      <c r="F1271" s="21">
        <f t="shared" ref="F1271:F1275" si="765">D1271*E1271</f>
        <v>7996.7200678672434</v>
      </c>
      <c r="G1271" s="24">
        <f>'DDS Rates for Amend'!AU18</f>
        <v>3.34</v>
      </c>
      <c r="H1271" s="33">
        <f t="shared" ref="H1271:H1275" si="766">F1271*G1271</f>
        <v>26709.045026676591</v>
      </c>
      <c r="I1271" s="688"/>
      <c r="J1271" s="205"/>
    </row>
    <row r="1272" spans="1:12" x14ac:dyDescent="0.25">
      <c r="A1272" s="21">
        <f>A$16</f>
        <v>1872</v>
      </c>
      <c r="B1272" s="149">
        <f t="shared" si="758"/>
        <v>2.7442371020856202E-2</v>
      </c>
      <c r="C1272" s="20">
        <f t="shared" si="759"/>
        <v>12</v>
      </c>
      <c r="D1272" s="21">
        <v>10</v>
      </c>
      <c r="E1272" s="22">
        <f t="shared" si="764"/>
        <v>816.96990006789838</v>
      </c>
      <c r="F1272" s="21">
        <f t="shared" si="765"/>
        <v>8169.6990006789838</v>
      </c>
      <c r="G1272" s="24">
        <f>'DDS Rates for Amend'!AU19</f>
        <v>3.4268399999999999</v>
      </c>
      <c r="H1272" s="33">
        <f t="shared" si="766"/>
        <v>27996.251323486769</v>
      </c>
      <c r="I1272" s="688"/>
      <c r="J1272" s="205"/>
    </row>
    <row r="1273" spans="1:12" x14ac:dyDescent="0.25">
      <c r="A1273" s="21">
        <f>A$17</f>
        <v>1902</v>
      </c>
      <c r="B1273" s="149">
        <f t="shared" si="758"/>
        <v>1.6025641025641024E-2</v>
      </c>
      <c r="C1273" s="20">
        <f t="shared" si="759"/>
        <v>13</v>
      </c>
      <c r="D1273" s="21">
        <v>10</v>
      </c>
      <c r="E1273" s="22">
        <f t="shared" si="764"/>
        <v>827.3486360366029</v>
      </c>
      <c r="F1273" s="21">
        <f t="shared" si="765"/>
        <v>8273.4863603660287</v>
      </c>
      <c r="G1273" s="24">
        <f>'DDS Rates for Amend'!AU20</f>
        <v>3.5159378399999999</v>
      </c>
      <c r="H1273" s="33">
        <f t="shared" si="766"/>
        <v>29089.063763134796</v>
      </c>
      <c r="I1273" s="688"/>
      <c r="J1273" s="205"/>
    </row>
    <row r="1274" spans="1:12" x14ac:dyDescent="0.25">
      <c r="A1274" s="21">
        <f>A$18</f>
        <v>1932</v>
      </c>
      <c r="B1274" s="149">
        <f t="shared" si="758"/>
        <v>1.5772870662460567E-2</v>
      </c>
      <c r="C1274" s="20">
        <f t="shared" si="759"/>
        <v>14</v>
      </c>
      <c r="D1274" s="21">
        <v>10</v>
      </c>
      <c r="E1274" s="22">
        <f t="shared" si="764"/>
        <v>837.7273720053073</v>
      </c>
      <c r="F1274" s="21">
        <f t="shared" si="765"/>
        <v>8377.2737200530737</v>
      </c>
      <c r="G1274" s="24">
        <f>'DDS Rates for Amend'!AU21</f>
        <v>3.60735222384</v>
      </c>
      <c r="H1274" s="33">
        <f t="shared" si="766"/>
        <v>30219.776983749845</v>
      </c>
      <c r="I1274" s="688"/>
      <c r="J1274" s="205"/>
    </row>
    <row r="1275" spans="1:12" x14ac:dyDescent="0.25">
      <c r="A1275" s="21">
        <f>A$19</f>
        <v>1962</v>
      </c>
      <c r="B1275" s="149">
        <f t="shared" si="758"/>
        <v>1.5527950310559006E-2</v>
      </c>
      <c r="C1275" s="20">
        <f t="shared" si="759"/>
        <v>15</v>
      </c>
      <c r="D1275" s="21">
        <v>10</v>
      </c>
      <c r="E1275" s="22">
        <f t="shared" si="764"/>
        <v>848.10610797401182</v>
      </c>
      <c r="F1275" s="21">
        <f t="shared" si="765"/>
        <v>8481.0610797401187</v>
      </c>
      <c r="G1275" s="24">
        <f>'DDS Rates for Amend'!AU22</f>
        <v>3.7011433816598398</v>
      </c>
      <c r="H1275" s="33">
        <f t="shared" si="766"/>
        <v>31389.623084732993</v>
      </c>
      <c r="I1275" s="689"/>
      <c r="J1275" s="205"/>
      <c r="K1275" s="285">
        <f>SUM(H1261:H1275)</f>
        <v>1520131.6738181445</v>
      </c>
      <c r="L1275" s="17">
        <f>IF(K1275='Appendix J-2'!CD53,0,error)</f>
        <v>0</v>
      </c>
    </row>
    <row r="1277" spans="1:12" x14ac:dyDescent="0.25">
      <c r="A1277" s="272" t="s">
        <v>79</v>
      </c>
      <c r="B1277" s="272"/>
      <c r="C1277" s="272"/>
      <c r="D1277" s="273"/>
      <c r="E1277" s="404" t="str">
        <f>'Appendix J-2'!C54</f>
        <v>15 minutes</v>
      </c>
      <c r="F1277" s="690"/>
      <c r="G1277" s="690"/>
      <c r="H1277" s="690"/>
      <c r="I1277" s="687" t="s">
        <v>1137</v>
      </c>
      <c r="J1277" s="205"/>
    </row>
    <row r="1278" spans="1:12" x14ac:dyDescent="0.25">
      <c r="A1278" s="147" t="s">
        <v>26</v>
      </c>
      <c r="B1278" s="147" t="s">
        <v>27</v>
      </c>
      <c r="C1278" s="51" t="s">
        <v>166</v>
      </c>
      <c r="D1278" s="91" t="s">
        <v>154</v>
      </c>
      <c r="E1278" s="89" t="s">
        <v>155</v>
      </c>
      <c r="F1278" s="34" t="s">
        <v>158</v>
      </c>
      <c r="G1278" s="35" t="s">
        <v>156</v>
      </c>
      <c r="H1278" s="51" t="s">
        <v>157</v>
      </c>
      <c r="I1278" s="688"/>
      <c r="J1278" s="205"/>
    </row>
    <row r="1279" spans="1:12" ht="15" customHeight="1" x14ac:dyDescent="0.25">
      <c r="A1279" s="21">
        <f>A$5</f>
        <v>1182</v>
      </c>
      <c r="B1279" s="148"/>
      <c r="C1279" s="144">
        <v>1</v>
      </c>
      <c r="D1279" s="219"/>
      <c r="E1279" s="23"/>
      <c r="F1279" s="219"/>
      <c r="G1279" s="25"/>
      <c r="H1279" s="220">
        <f>'linked - DO NOT USE or DELETE'!H1003</f>
        <v>0</v>
      </c>
      <c r="I1279" s="688"/>
      <c r="J1279" s="205"/>
    </row>
    <row r="1280" spans="1:12" x14ac:dyDescent="0.25">
      <c r="A1280" s="21">
        <f>A$6</f>
        <v>1288</v>
      </c>
      <c r="B1280" s="149">
        <f>(A1280-A1279)/A1279</f>
        <v>8.9678510998307953E-2</v>
      </c>
      <c r="C1280" s="52">
        <v>2</v>
      </c>
      <c r="D1280" s="219"/>
      <c r="E1280" s="23"/>
      <c r="F1280" s="219"/>
      <c r="G1280" s="25"/>
      <c r="H1280" s="220">
        <f>'linked - DO NOT USE or DELETE'!M1003</f>
        <v>0</v>
      </c>
      <c r="I1280" s="688"/>
      <c r="J1280" s="205"/>
    </row>
    <row r="1281" spans="1:12" x14ac:dyDescent="0.25">
      <c r="A1281" s="21">
        <f>A$7</f>
        <v>1495</v>
      </c>
      <c r="B1281" s="149">
        <f t="shared" ref="B1281:B1293" si="767">(A1281-A1280)/A1280</f>
        <v>0.16071428571428573</v>
      </c>
      <c r="C1281" s="52">
        <v>3</v>
      </c>
      <c r="D1281" s="219"/>
      <c r="E1281" s="23"/>
      <c r="F1281" s="219"/>
      <c r="G1281" s="25"/>
      <c r="H1281" s="220">
        <f>'linked - DO NOT USE or DELETE'!R1003</f>
        <v>0</v>
      </c>
      <c r="I1281" s="688"/>
      <c r="J1281" s="205"/>
    </row>
    <row r="1282" spans="1:12" x14ac:dyDescent="0.25">
      <c r="A1282" s="21">
        <f>A$8</f>
        <v>1484</v>
      </c>
      <c r="B1282" s="149">
        <f t="shared" si="767"/>
        <v>-7.3578595317725752E-3</v>
      </c>
      <c r="C1282" s="52">
        <f t="shared" ref="C1282:C1293" si="768">C1281+1</f>
        <v>4</v>
      </c>
      <c r="D1282" s="219"/>
      <c r="E1282" s="23"/>
      <c r="F1282" s="219"/>
      <c r="G1282" s="25"/>
      <c r="H1282" s="220">
        <f>'linked - DO NOT USE or DELETE'!W1003</f>
        <v>0</v>
      </c>
      <c r="I1282" s="688"/>
      <c r="J1282" s="205"/>
    </row>
    <row r="1283" spans="1:12" x14ac:dyDescent="0.25">
      <c r="A1283" s="21">
        <f>A$9</f>
        <v>1528</v>
      </c>
      <c r="B1283" s="149">
        <f t="shared" si="767"/>
        <v>2.9649595687331536E-2</v>
      </c>
      <c r="C1283" s="52">
        <f t="shared" si="768"/>
        <v>5</v>
      </c>
      <c r="D1283" s="26"/>
      <c r="E1283" s="23"/>
      <c r="F1283" s="26"/>
      <c r="G1283" s="25"/>
      <c r="H1283" s="145">
        <f t="shared" ref="H1283:H1288" si="769">F1283*G1283</f>
        <v>0</v>
      </c>
      <c r="I1283" s="688"/>
      <c r="J1283" s="205"/>
    </row>
    <row r="1284" spans="1:12" x14ac:dyDescent="0.25">
      <c r="A1284" s="21">
        <f>A$10</f>
        <v>1592</v>
      </c>
      <c r="B1284" s="149">
        <f t="shared" si="767"/>
        <v>4.1884816753926704E-2</v>
      </c>
      <c r="C1284" s="20">
        <f t="shared" si="768"/>
        <v>6</v>
      </c>
      <c r="D1284" s="249">
        <f>'Appendix J-2'!AC54</f>
        <v>0</v>
      </c>
      <c r="E1284" s="23">
        <f t="shared" ref="E1284:E1287" si="770">IF(F1284=0,0,F1284/D1284)</f>
        <v>0</v>
      </c>
      <c r="F1284" s="249">
        <f>'Appendix J-2'!AE54</f>
        <v>0</v>
      </c>
      <c r="G1284" s="25" t="e">
        <f t="shared" ref="G1284:G1287" si="771">H1284/F1284</f>
        <v>#DIV/0!</v>
      </c>
      <c r="H1284" s="248">
        <f>'Appendix J-2'!AG54</f>
        <v>0</v>
      </c>
      <c r="I1284" s="688"/>
      <c r="J1284" s="205"/>
    </row>
    <row r="1285" spans="1:12" x14ac:dyDescent="0.25">
      <c r="A1285" s="21">
        <f>A$11</f>
        <v>1642</v>
      </c>
      <c r="B1285" s="149">
        <f t="shared" si="767"/>
        <v>3.1407035175879394E-2</v>
      </c>
      <c r="C1285" s="20">
        <f t="shared" si="768"/>
        <v>7</v>
      </c>
      <c r="D1285" s="249">
        <f>'Appendix J-2'!AH54</f>
        <v>0</v>
      </c>
      <c r="E1285" s="23">
        <f t="shared" si="770"/>
        <v>0</v>
      </c>
      <c r="F1285" s="249">
        <f>'Appendix J-2'!AJ54</f>
        <v>0</v>
      </c>
      <c r="G1285" s="25" t="e">
        <f t="shared" si="771"/>
        <v>#DIV/0!</v>
      </c>
      <c r="H1285" s="248">
        <f>'Appendix J-2'!AL54</f>
        <v>0</v>
      </c>
      <c r="I1285" s="688"/>
      <c r="J1285" s="205"/>
    </row>
    <row r="1286" spans="1:12" x14ac:dyDescent="0.25">
      <c r="A1286" s="21">
        <f>A$12</f>
        <v>1675</v>
      </c>
      <c r="B1286" s="149">
        <f t="shared" si="767"/>
        <v>2.0097442143727162E-2</v>
      </c>
      <c r="C1286" s="20">
        <f t="shared" si="768"/>
        <v>8</v>
      </c>
      <c r="D1286" s="249">
        <f>'Appendix J-2'!AM54</f>
        <v>0</v>
      </c>
      <c r="E1286" s="23">
        <f t="shared" si="770"/>
        <v>0</v>
      </c>
      <c r="F1286" s="249">
        <f>'Appendix J-2'!AO54</f>
        <v>0</v>
      </c>
      <c r="G1286" s="25" t="e">
        <f t="shared" si="771"/>
        <v>#DIV/0!</v>
      </c>
      <c r="H1286" s="248">
        <f>'Appendix J-2'!AQ54</f>
        <v>0</v>
      </c>
      <c r="I1286" s="688"/>
      <c r="J1286" s="205"/>
    </row>
    <row r="1287" spans="1:12" x14ac:dyDescent="0.25">
      <c r="A1287" s="21">
        <f>A$13</f>
        <v>1739</v>
      </c>
      <c r="B1287" s="149">
        <f t="shared" si="767"/>
        <v>3.8208955223880597E-2</v>
      </c>
      <c r="C1287" s="20">
        <f t="shared" si="768"/>
        <v>9</v>
      </c>
      <c r="D1287" s="249">
        <f>'Appendix J-2'!AR54</f>
        <v>0</v>
      </c>
      <c r="E1287" s="23">
        <f t="shared" si="770"/>
        <v>0</v>
      </c>
      <c r="F1287" s="249">
        <f>'Appendix J-2'!AT54</f>
        <v>0</v>
      </c>
      <c r="G1287" s="25" t="e">
        <f t="shared" si="771"/>
        <v>#DIV/0!</v>
      </c>
      <c r="H1287" s="248">
        <f>'Appendix J-2'!AV54</f>
        <v>0</v>
      </c>
      <c r="I1287" s="688"/>
      <c r="J1287" s="205"/>
    </row>
    <row r="1288" spans="1:12" x14ac:dyDescent="0.25">
      <c r="A1288" s="21">
        <f>A$14</f>
        <v>1752</v>
      </c>
      <c r="B1288" s="149">
        <f t="shared" si="767"/>
        <v>7.4755606670500289E-3</v>
      </c>
      <c r="C1288" s="20">
        <f t="shared" si="768"/>
        <v>10</v>
      </c>
      <c r="D1288" s="21">
        <f>R802</f>
        <v>0</v>
      </c>
      <c r="E1288" s="22">
        <v>640</v>
      </c>
      <c r="F1288" s="26">
        <f>D1288*E1288</f>
        <v>0</v>
      </c>
      <c r="G1288" s="25">
        <f>'DDS Rates for Amend'!AV17</f>
        <v>5.82</v>
      </c>
      <c r="H1288" s="145">
        <f t="shared" si="769"/>
        <v>0</v>
      </c>
      <c r="I1288" s="688"/>
      <c r="J1288" s="205"/>
    </row>
    <row r="1289" spans="1:12" x14ac:dyDescent="0.25">
      <c r="A1289" s="21">
        <f>A$15</f>
        <v>1822</v>
      </c>
      <c r="B1289" s="149">
        <f t="shared" si="767"/>
        <v>3.9954337899543377E-2</v>
      </c>
      <c r="C1289" s="20">
        <f t="shared" si="768"/>
        <v>11</v>
      </c>
      <c r="D1289" s="21">
        <f t="shared" ref="D1289" si="772">R803</f>
        <v>0</v>
      </c>
      <c r="E1289" s="22">
        <v>640</v>
      </c>
      <c r="F1289" s="26">
        <f t="shared" ref="F1289:F1293" si="773">D1289*E1289</f>
        <v>0</v>
      </c>
      <c r="G1289" s="25">
        <f>'DDS Rates for Amend'!AV18</f>
        <v>5.9713200000000004</v>
      </c>
      <c r="H1289" s="145">
        <f t="shared" ref="H1289:H1293" si="774">F1289*G1289</f>
        <v>0</v>
      </c>
      <c r="I1289" s="688"/>
      <c r="J1289" s="205"/>
    </row>
    <row r="1290" spans="1:12" x14ac:dyDescent="0.25">
      <c r="A1290" s="21">
        <f>A$16</f>
        <v>1872</v>
      </c>
      <c r="B1290" s="149">
        <f t="shared" si="767"/>
        <v>2.7442371020856202E-2</v>
      </c>
      <c r="C1290" s="20">
        <f t="shared" si="768"/>
        <v>12</v>
      </c>
      <c r="D1290" s="21">
        <f>ROUND(R804,0)</f>
        <v>33</v>
      </c>
      <c r="E1290" s="22">
        <v>640</v>
      </c>
      <c r="F1290" s="26">
        <f t="shared" si="773"/>
        <v>21120</v>
      </c>
      <c r="G1290" s="25">
        <f>'DDS Rates for Amend'!AV19</f>
        <v>6.1265743200000005</v>
      </c>
      <c r="H1290" s="145">
        <f t="shared" si="774"/>
        <v>129393.24963840001</v>
      </c>
      <c r="I1290" s="688"/>
      <c r="J1290" s="205"/>
    </row>
    <row r="1291" spans="1:12" x14ac:dyDescent="0.25">
      <c r="A1291" s="21">
        <f>A$17</f>
        <v>1902</v>
      </c>
      <c r="B1291" s="149">
        <f t="shared" si="767"/>
        <v>1.6025641025641024E-2</v>
      </c>
      <c r="C1291" s="20">
        <f t="shared" si="768"/>
        <v>13</v>
      </c>
      <c r="D1291" s="21">
        <f t="shared" ref="D1291:D1293" si="775">ROUND(R805,0)</f>
        <v>96</v>
      </c>
      <c r="E1291" s="22">
        <v>640</v>
      </c>
      <c r="F1291" s="26">
        <f t="shared" si="773"/>
        <v>61440</v>
      </c>
      <c r="G1291" s="25">
        <f>'DDS Rates for Amend'!AV20</f>
        <v>6.2858652523200007</v>
      </c>
      <c r="H1291" s="145">
        <f t="shared" si="774"/>
        <v>386203.56110254081</v>
      </c>
      <c r="I1291" s="688"/>
      <c r="J1291" s="205"/>
    </row>
    <row r="1292" spans="1:12" x14ac:dyDescent="0.25">
      <c r="A1292" s="21">
        <f>A$18</f>
        <v>1932</v>
      </c>
      <c r="B1292" s="149">
        <f t="shared" si="767"/>
        <v>1.5772870662460567E-2</v>
      </c>
      <c r="C1292" s="20">
        <f t="shared" si="768"/>
        <v>14</v>
      </c>
      <c r="D1292" s="21">
        <f t="shared" si="775"/>
        <v>156</v>
      </c>
      <c r="E1292" s="22">
        <v>640</v>
      </c>
      <c r="F1292" s="26">
        <f t="shared" si="773"/>
        <v>99840</v>
      </c>
      <c r="G1292" s="25">
        <f>'DDS Rates for Amend'!AV21</f>
        <v>6.4492977488803209</v>
      </c>
      <c r="H1292" s="145">
        <f t="shared" si="774"/>
        <v>643897.88724821119</v>
      </c>
      <c r="I1292" s="688"/>
      <c r="J1292" s="205"/>
    </row>
    <row r="1293" spans="1:12" x14ac:dyDescent="0.25">
      <c r="A1293" s="21">
        <f>A$19</f>
        <v>1962</v>
      </c>
      <c r="B1293" s="149">
        <f t="shared" si="767"/>
        <v>1.5527950310559006E-2</v>
      </c>
      <c r="C1293" s="20">
        <f t="shared" si="768"/>
        <v>15</v>
      </c>
      <c r="D1293" s="21">
        <f t="shared" si="775"/>
        <v>156</v>
      </c>
      <c r="E1293" s="22">
        <v>640</v>
      </c>
      <c r="F1293" s="26">
        <f t="shared" si="773"/>
        <v>99840</v>
      </c>
      <c r="G1293" s="25">
        <f>'DDS Rates for Amend'!AV22</f>
        <v>6.6169794903512091</v>
      </c>
      <c r="H1293" s="145">
        <f t="shared" si="774"/>
        <v>660639.23231666477</v>
      </c>
      <c r="I1293" s="689"/>
      <c r="J1293" s="205"/>
      <c r="K1293" s="285">
        <f>SUM(H1279:H1293)</f>
        <v>1820133.9303058167</v>
      </c>
      <c r="L1293" s="17">
        <f>IF(K1293='Appendix J-2'!CD54,0,error)</f>
        <v>0</v>
      </c>
    </row>
    <row r="1294" spans="1:12" x14ac:dyDescent="0.25">
      <c r="F1294" s="86"/>
      <c r="G1294" s="86"/>
      <c r="H1294" s="86"/>
      <c r="I1294" s="309"/>
      <c r="J1294" s="77"/>
    </row>
    <row r="1295" spans="1:12" x14ac:dyDescent="0.25">
      <c r="A1295" s="272" t="s">
        <v>275</v>
      </c>
      <c r="B1295" s="272"/>
      <c r="C1295" s="272"/>
      <c r="D1295" s="292" t="str">
        <f>'Appendix J-2'!B6</f>
        <v>Visit</v>
      </c>
      <c r="E1295" s="223" t="str">
        <f>'Appendix J-2'!C6</f>
        <v>15 minutes</v>
      </c>
      <c r="F1295" s="690"/>
      <c r="G1295" s="690"/>
      <c r="H1295" s="690"/>
      <c r="I1295" s="687" t="s">
        <v>1136</v>
      </c>
      <c r="J1295" s="205"/>
    </row>
    <row r="1296" spans="1:12" x14ac:dyDescent="0.25">
      <c r="A1296" s="147" t="s">
        <v>26</v>
      </c>
      <c r="B1296" s="147" t="s">
        <v>27</v>
      </c>
      <c r="C1296" s="51" t="s">
        <v>166</v>
      </c>
      <c r="D1296" s="91" t="s">
        <v>154</v>
      </c>
      <c r="E1296" s="89" t="s">
        <v>155</v>
      </c>
      <c r="F1296" s="34" t="s">
        <v>158</v>
      </c>
      <c r="G1296" s="35" t="s">
        <v>156</v>
      </c>
      <c r="H1296" s="51" t="s">
        <v>157</v>
      </c>
      <c r="I1296" s="688"/>
      <c r="J1296" s="205"/>
    </row>
    <row r="1297" spans="1:12" ht="15" customHeight="1" x14ac:dyDescent="0.25">
      <c r="A1297" s="21">
        <f>A$5</f>
        <v>1182</v>
      </c>
      <c r="B1297" s="148"/>
      <c r="C1297" s="144">
        <v>1</v>
      </c>
      <c r="D1297" s="219">
        <v>0</v>
      </c>
      <c r="E1297" s="23">
        <f t="shared" ref="E1297:E1305" si="776">IF(F1297=0,0,F1297/D1297)</f>
        <v>0</v>
      </c>
      <c r="F1297" s="219">
        <v>0</v>
      </c>
      <c r="G1297" s="25" t="e">
        <f t="shared" ref="G1297:G1305" si="777">H1297/F1297</f>
        <v>#DIV/0!</v>
      </c>
      <c r="H1297" s="220">
        <v>0</v>
      </c>
      <c r="I1297" s="688"/>
      <c r="J1297" s="205"/>
    </row>
    <row r="1298" spans="1:12" x14ac:dyDescent="0.25">
      <c r="A1298" s="21">
        <f>A$6</f>
        <v>1288</v>
      </c>
      <c r="B1298" s="149">
        <f>(A1298-A1297)/A1297</f>
        <v>8.9678510998307953E-2</v>
      </c>
      <c r="C1298" s="52">
        <v>2</v>
      </c>
      <c r="D1298" s="219">
        <v>0</v>
      </c>
      <c r="E1298" s="23">
        <f t="shared" si="776"/>
        <v>0</v>
      </c>
      <c r="F1298" s="219">
        <v>0</v>
      </c>
      <c r="G1298" s="25" t="e">
        <f t="shared" si="777"/>
        <v>#DIV/0!</v>
      </c>
      <c r="H1298" s="220">
        <v>0</v>
      </c>
      <c r="I1298" s="688"/>
      <c r="J1298" s="205"/>
    </row>
    <row r="1299" spans="1:12" x14ac:dyDescent="0.25">
      <c r="A1299" s="21">
        <f>A$7</f>
        <v>1495</v>
      </c>
      <c r="B1299" s="149">
        <f t="shared" ref="B1299:B1311" si="778">(A1299-A1298)/A1298</f>
        <v>0.16071428571428573</v>
      </c>
      <c r="C1299" s="52">
        <v>3</v>
      </c>
      <c r="D1299" s="219">
        <v>0</v>
      </c>
      <c r="E1299" s="23">
        <f t="shared" si="776"/>
        <v>0</v>
      </c>
      <c r="F1299" s="219">
        <v>0</v>
      </c>
      <c r="G1299" s="25" t="e">
        <f t="shared" si="777"/>
        <v>#DIV/0!</v>
      </c>
      <c r="H1299" s="220">
        <v>0</v>
      </c>
      <c r="I1299" s="688"/>
      <c r="J1299" s="205"/>
    </row>
    <row r="1300" spans="1:12" x14ac:dyDescent="0.25">
      <c r="A1300" s="21">
        <f>A$8</f>
        <v>1484</v>
      </c>
      <c r="B1300" s="149">
        <f t="shared" si="778"/>
        <v>-7.3578595317725752E-3</v>
      </c>
      <c r="C1300" s="52">
        <f t="shared" ref="C1300:C1311" si="779">C1299+1</f>
        <v>4</v>
      </c>
      <c r="D1300" s="247">
        <f>'Appendix J-2'!S6</f>
        <v>0</v>
      </c>
      <c r="E1300" s="23">
        <f t="shared" si="776"/>
        <v>0</v>
      </c>
      <c r="F1300" s="247">
        <f>'Appendix J-2'!U6</f>
        <v>0</v>
      </c>
      <c r="G1300" s="25" t="e">
        <f t="shared" si="777"/>
        <v>#DIV/0!</v>
      </c>
      <c r="H1300" s="250">
        <f>'Appendix J-2'!W6</f>
        <v>0</v>
      </c>
      <c r="I1300" s="688"/>
      <c r="J1300" s="205"/>
    </row>
    <row r="1301" spans="1:12" x14ac:dyDescent="0.25">
      <c r="A1301" s="21">
        <f>A$9</f>
        <v>1528</v>
      </c>
      <c r="B1301" s="149">
        <f t="shared" si="778"/>
        <v>2.9649595687331536E-2</v>
      </c>
      <c r="C1301" s="52">
        <f t="shared" si="779"/>
        <v>5</v>
      </c>
      <c r="D1301" s="249">
        <f>'Appendix J-2'!X6</f>
        <v>0</v>
      </c>
      <c r="E1301" s="23">
        <f t="shared" si="776"/>
        <v>0</v>
      </c>
      <c r="F1301" s="249">
        <f>'Appendix J-2'!Z6</f>
        <v>0</v>
      </c>
      <c r="G1301" s="25" t="e">
        <f t="shared" si="777"/>
        <v>#DIV/0!</v>
      </c>
      <c r="H1301" s="248">
        <f>'Appendix J-2'!AB6</f>
        <v>0</v>
      </c>
      <c r="I1301" s="688"/>
      <c r="J1301" s="205"/>
    </row>
    <row r="1302" spans="1:12" x14ac:dyDescent="0.25">
      <c r="A1302" s="21">
        <f>A$10</f>
        <v>1592</v>
      </c>
      <c r="B1302" s="149">
        <f t="shared" si="778"/>
        <v>4.1884816753926704E-2</v>
      </c>
      <c r="C1302" s="52">
        <f t="shared" si="779"/>
        <v>6</v>
      </c>
      <c r="D1302" s="249">
        <f>'Appendix J-2'!AC6</f>
        <v>0</v>
      </c>
      <c r="E1302" s="23">
        <f t="shared" si="776"/>
        <v>0</v>
      </c>
      <c r="F1302" s="249">
        <f>'Appendix J-2'!AE6</f>
        <v>0</v>
      </c>
      <c r="G1302" s="25" t="e">
        <f t="shared" si="777"/>
        <v>#DIV/0!</v>
      </c>
      <c r="H1302" s="248">
        <f>'Appendix J-2'!AG6</f>
        <v>0</v>
      </c>
      <c r="I1302" s="688"/>
      <c r="J1302" s="205"/>
    </row>
    <row r="1303" spans="1:12" x14ac:dyDescent="0.25">
      <c r="A1303" s="21">
        <f>A$11</f>
        <v>1642</v>
      </c>
      <c r="B1303" s="149">
        <f t="shared" si="778"/>
        <v>3.1407035175879394E-2</v>
      </c>
      <c r="C1303" s="52">
        <f t="shared" si="779"/>
        <v>7</v>
      </c>
      <c r="D1303" s="249">
        <f>'Appendix J-2'!AH6</f>
        <v>0</v>
      </c>
      <c r="E1303" s="23">
        <f t="shared" si="776"/>
        <v>0</v>
      </c>
      <c r="F1303" s="249">
        <f>'Appendix J-2'!AJ6</f>
        <v>0</v>
      </c>
      <c r="G1303" s="25" t="e">
        <f t="shared" si="777"/>
        <v>#DIV/0!</v>
      </c>
      <c r="H1303" s="248">
        <f>'Appendix J-2'!AL6</f>
        <v>0</v>
      </c>
      <c r="I1303" s="688"/>
      <c r="J1303" s="205"/>
    </row>
    <row r="1304" spans="1:12" x14ac:dyDescent="0.25">
      <c r="A1304" s="21">
        <f>A$12</f>
        <v>1675</v>
      </c>
      <c r="B1304" s="149">
        <f t="shared" si="778"/>
        <v>2.0097442143727162E-2</v>
      </c>
      <c r="C1304" s="52">
        <f t="shared" si="779"/>
        <v>8</v>
      </c>
      <c r="D1304" s="249">
        <f>'Appendix J-2'!AM6</f>
        <v>0</v>
      </c>
      <c r="E1304" s="23">
        <f t="shared" si="776"/>
        <v>0</v>
      </c>
      <c r="F1304" s="249">
        <f>'Appendix J-2'!AO6</f>
        <v>0</v>
      </c>
      <c r="G1304" s="25" t="e">
        <f t="shared" si="777"/>
        <v>#DIV/0!</v>
      </c>
      <c r="H1304" s="248">
        <f>'Appendix J-2'!AQ6</f>
        <v>0</v>
      </c>
      <c r="I1304" s="688"/>
      <c r="J1304" s="205"/>
    </row>
    <row r="1305" spans="1:12" x14ac:dyDescent="0.25">
      <c r="A1305" s="21">
        <f>A$13</f>
        <v>1739</v>
      </c>
      <c r="B1305" s="149">
        <f t="shared" si="778"/>
        <v>3.8208955223880597E-2</v>
      </c>
      <c r="C1305" s="52">
        <f t="shared" si="779"/>
        <v>9</v>
      </c>
      <c r="D1305" s="249">
        <f>'Appendix J-2'!AR6</f>
        <v>0</v>
      </c>
      <c r="E1305" s="23">
        <f t="shared" si="776"/>
        <v>0</v>
      </c>
      <c r="F1305" s="249">
        <f>'Appendix J-2'!AT6</f>
        <v>0</v>
      </c>
      <c r="G1305" s="25" t="e">
        <f t="shared" si="777"/>
        <v>#DIV/0!</v>
      </c>
      <c r="H1305" s="248">
        <f>'Appendix J-2'!AV6</f>
        <v>0</v>
      </c>
      <c r="I1305" s="688"/>
      <c r="J1305" s="205"/>
    </row>
    <row r="1306" spans="1:12" x14ac:dyDescent="0.25">
      <c r="A1306" s="21">
        <f>A$14</f>
        <v>1752</v>
      </c>
      <c r="B1306" s="149">
        <f t="shared" si="778"/>
        <v>7.4755606670500289E-3</v>
      </c>
      <c r="C1306" s="52">
        <f t="shared" si="779"/>
        <v>10</v>
      </c>
      <c r="D1306" s="21">
        <v>4</v>
      </c>
      <c r="E1306" s="22">
        <f>E176</f>
        <v>32.078751187084521</v>
      </c>
      <c r="F1306" s="26">
        <f>D1306*E1306</f>
        <v>128.31500474833808</v>
      </c>
      <c r="G1306" s="25">
        <f>'DDS Rates for Amend'!D17</f>
        <v>16.420000000000002</v>
      </c>
      <c r="H1306" s="145">
        <f>F1306*G1306</f>
        <v>2106.9323779677115</v>
      </c>
      <c r="I1306" s="688"/>
      <c r="J1306" s="205"/>
    </row>
    <row r="1307" spans="1:12" x14ac:dyDescent="0.25">
      <c r="A1307" s="21">
        <f>A$15</f>
        <v>1822</v>
      </c>
      <c r="B1307" s="149">
        <f t="shared" si="778"/>
        <v>3.9954337899543377E-2</v>
      </c>
      <c r="C1307" s="20">
        <f t="shared" si="779"/>
        <v>11</v>
      </c>
      <c r="D1307" s="21">
        <v>4</v>
      </c>
      <c r="E1307" s="22">
        <f t="shared" ref="E1307:E1311" si="780">E177</f>
        <v>27.856194207027542</v>
      </c>
      <c r="F1307" s="26">
        <f t="shared" ref="F1307:F1311" si="781">D1307*E1307</f>
        <v>111.42477682811017</v>
      </c>
      <c r="G1307" s="25">
        <f>'DDS Rates for Amend'!D18</f>
        <v>16.846920000000001</v>
      </c>
      <c r="H1307" s="145">
        <f t="shared" ref="H1307:H1311" si="782">F1307*G1307</f>
        <v>1877.1643012410259</v>
      </c>
      <c r="I1307" s="688"/>
      <c r="J1307" s="205"/>
    </row>
    <row r="1308" spans="1:12" x14ac:dyDescent="0.25">
      <c r="A1308" s="21">
        <f>A$16</f>
        <v>1872</v>
      </c>
      <c r="B1308" s="149">
        <f t="shared" si="778"/>
        <v>2.7442371020856202E-2</v>
      </c>
      <c r="C1308" s="20">
        <f t="shared" si="779"/>
        <v>12</v>
      </c>
      <c r="D1308" s="21">
        <v>5</v>
      </c>
      <c r="E1308" s="22">
        <f t="shared" si="780"/>
        <v>23.633637226970563</v>
      </c>
      <c r="F1308" s="26">
        <f t="shared" si="781"/>
        <v>118.16818613485282</v>
      </c>
      <c r="G1308" s="25">
        <f>'DDS Rates for Amend'!D19</f>
        <v>17.284939919999999</v>
      </c>
      <c r="H1308" s="145">
        <f t="shared" si="782"/>
        <v>2042.529997796308</v>
      </c>
      <c r="I1308" s="688"/>
      <c r="J1308" s="205"/>
    </row>
    <row r="1309" spans="1:12" x14ac:dyDescent="0.25">
      <c r="A1309" s="21">
        <f>A$17</f>
        <v>1902</v>
      </c>
      <c r="B1309" s="149">
        <f t="shared" si="778"/>
        <v>1.6025641025641024E-2</v>
      </c>
      <c r="C1309" s="20">
        <f t="shared" si="779"/>
        <v>13</v>
      </c>
      <c r="D1309" s="21">
        <v>5</v>
      </c>
      <c r="E1309" s="22">
        <f t="shared" si="780"/>
        <v>19.411080246913585</v>
      </c>
      <c r="F1309" s="26">
        <f t="shared" si="781"/>
        <v>97.055401234567924</v>
      </c>
      <c r="G1309" s="25">
        <f>'DDS Rates for Amend'!D20</f>
        <v>17.734348357919998</v>
      </c>
      <c r="H1309" s="145">
        <f t="shared" si="782"/>
        <v>1721.2142955115262</v>
      </c>
      <c r="I1309" s="688"/>
      <c r="J1309" s="205"/>
    </row>
    <row r="1310" spans="1:12" x14ac:dyDescent="0.25">
      <c r="A1310" s="21">
        <f>A$18</f>
        <v>1932</v>
      </c>
      <c r="B1310" s="149">
        <f t="shared" si="778"/>
        <v>1.5772870662460567E-2</v>
      </c>
      <c r="C1310" s="20">
        <f t="shared" si="779"/>
        <v>14</v>
      </c>
      <c r="D1310" s="21">
        <v>5</v>
      </c>
      <c r="E1310" s="22">
        <f t="shared" si="780"/>
        <v>15.188523266856606</v>
      </c>
      <c r="F1310" s="26">
        <f t="shared" si="781"/>
        <v>75.942616334283031</v>
      </c>
      <c r="G1310" s="25">
        <f>'DDS Rates for Amend'!D21</f>
        <v>18.195441415225918</v>
      </c>
      <c r="H1310" s="145">
        <f t="shared" si="782"/>
        <v>1381.8094264294257</v>
      </c>
      <c r="I1310" s="688"/>
      <c r="J1310" s="205"/>
    </row>
    <row r="1311" spans="1:12" x14ac:dyDescent="0.25">
      <c r="A1311" s="21">
        <f>A$19</f>
        <v>1962</v>
      </c>
      <c r="B1311" s="149">
        <f t="shared" si="778"/>
        <v>1.5527950310559006E-2</v>
      </c>
      <c r="C1311" s="20">
        <f t="shared" si="779"/>
        <v>15</v>
      </c>
      <c r="D1311" s="21">
        <v>5</v>
      </c>
      <c r="E1311" s="22">
        <f t="shared" si="780"/>
        <v>10.965966286799627</v>
      </c>
      <c r="F1311" s="26">
        <f t="shared" si="781"/>
        <v>54.829831433998137</v>
      </c>
      <c r="G1311" s="25">
        <f>'DDS Rates for Amend'!D22</f>
        <v>18.668522892021791</v>
      </c>
      <c r="H1311" s="145">
        <f t="shared" si="782"/>
        <v>1023.5919632912902</v>
      </c>
      <c r="I1311" s="689"/>
      <c r="J1311" s="205"/>
      <c r="K1311" s="285">
        <f>SUM(H1297:H1311)</f>
        <v>10153.242362237286</v>
      </c>
      <c r="L1311" s="17">
        <f>IF(K1311='Appendix J-2'!CD6,0,error)</f>
        <v>0</v>
      </c>
    </row>
    <row r="1313" spans="1:10" x14ac:dyDescent="0.25">
      <c r="A1313" s="271" t="s">
        <v>29</v>
      </c>
      <c r="B1313" s="272"/>
      <c r="C1313" s="272"/>
      <c r="D1313" s="298" t="str">
        <f>'Appendix J-2'!B71</f>
        <v>Assistance</v>
      </c>
      <c r="E1313" s="299" t="str">
        <f>'Appendix J-2'!C71</f>
        <v>1 day</v>
      </c>
      <c r="F1313" s="690"/>
      <c r="G1313" s="690"/>
      <c r="H1313" s="690"/>
      <c r="I1313" s="687" t="s">
        <v>1114</v>
      </c>
      <c r="J1313" s="406"/>
    </row>
    <row r="1314" spans="1:10" x14ac:dyDescent="0.25">
      <c r="A1314" s="147" t="s">
        <v>26</v>
      </c>
      <c r="B1314" s="147" t="s">
        <v>27</v>
      </c>
      <c r="C1314" s="51" t="s">
        <v>166</v>
      </c>
      <c r="D1314" s="91" t="s">
        <v>154</v>
      </c>
      <c r="E1314" s="89" t="s">
        <v>155</v>
      </c>
      <c r="F1314" s="34" t="s">
        <v>158</v>
      </c>
      <c r="G1314" s="35" t="s">
        <v>156</v>
      </c>
      <c r="H1314" s="51" t="s">
        <v>157</v>
      </c>
      <c r="I1314" s="688"/>
      <c r="J1314" s="406"/>
    </row>
    <row r="1315" spans="1:10" x14ac:dyDescent="0.25">
      <c r="A1315" s="21">
        <f>A$5</f>
        <v>1182</v>
      </c>
      <c r="B1315" s="148"/>
      <c r="C1315" s="144">
        <v>1</v>
      </c>
      <c r="D1315" s="210">
        <f>'linked - DO NOT USE or DELETE'!D433</f>
        <v>0</v>
      </c>
      <c r="E1315" s="23">
        <f t="shared" ref="E1315:E1323" si="783">IF(F1315=0,0,F1315/D1315)</f>
        <v>0</v>
      </c>
      <c r="F1315" s="210">
        <f>'linked - DO NOT USE or DELETE'!F433</f>
        <v>0</v>
      </c>
      <c r="G1315" s="25" t="e">
        <f t="shared" ref="G1315:G1323" si="784">H1315/F1315</f>
        <v>#DIV/0!</v>
      </c>
      <c r="H1315" s="211">
        <f>'linked - DO NOT USE or DELETE'!H433</f>
        <v>0</v>
      </c>
      <c r="I1315" s="688"/>
      <c r="J1315" s="406"/>
    </row>
    <row r="1316" spans="1:10" x14ac:dyDescent="0.25">
      <c r="A1316" s="21">
        <f>A$6</f>
        <v>1288</v>
      </c>
      <c r="B1316" s="149">
        <f>(A1316-A1315)/A1315</f>
        <v>8.9678510998307953E-2</v>
      </c>
      <c r="C1316" s="52">
        <v>2</v>
      </c>
      <c r="D1316" s="210">
        <f>'linked - DO NOT USE or DELETE'!I433</f>
        <v>0</v>
      </c>
      <c r="E1316" s="23">
        <f t="shared" si="783"/>
        <v>0</v>
      </c>
      <c r="F1316" s="210">
        <f>'linked - DO NOT USE or DELETE'!K433</f>
        <v>0</v>
      </c>
      <c r="G1316" s="25" t="e">
        <f t="shared" si="784"/>
        <v>#DIV/0!</v>
      </c>
      <c r="H1316" s="211">
        <f>'linked - DO NOT USE or DELETE'!M433</f>
        <v>0</v>
      </c>
      <c r="I1316" s="688"/>
      <c r="J1316" s="406"/>
    </row>
    <row r="1317" spans="1:10" x14ac:dyDescent="0.25">
      <c r="A1317" s="21">
        <f>A$7</f>
        <v>1495</v>
      </c>
      <c r="B1317" s="149">
        <f t="shared" ref="B1317:B1329" si="785">(A1317-A1316)/A1316</f>
        <v>0.16071428571428573</v>
      </c>
      <c r="C1317" s="52">
        <v>3</v>
      </c>
      <c r="D1317" s="210">
        <f>'linked - DO NOT USE or DELETE'!N433</f>
        <v>0</v>
      </c>
      <c r="E1317" s="23">
        <f t="shared" si="783"/>
        <v>0</v>
      </c>
      <c r="F1317" s="210">
        <f>'linked - DO NOT USE or DELETE'!P433</f>
        <v>0</v>
      </c>
      <c r="G1317" s="25" t="e">
        <f t="shared" si="784"/>
        <v>#DIV/0!</v>
      </c>
      <c r="H1317" s="33">
        <f>'linked - DO NOT USE or DELETE'!R433</f>
        <v>0</v>
      </c>
      <c r="I1317" s="688"/>
      <c r="J1317" s="406"/>
    </row>
    <row r="1318" spans="1:10" x14ac:dyDescent="0.25">
      <c r="A1318" s="21">
        <f>A$8</f>
        <v>1484</v>
      </c>
      <c r="B1318" s="149">
        <f t="shared" si="785"/>
        <v>-7.3578595317725752E-3</v>
      </c>
      <c r="C1318" s="52">
        <f t="shared" ref="C1318:C1329" si="786">C1317+1</f>
        <v>4</v>
      </c>
      <c r="D1318" s="247">
        <f>'linked - DO NOT USE or DELETE'!S433</f>
        <v>0</v>
      </c>
      <c r="E1318" s="23">
        <f t="shared" si="783"/>
        <v>0</v>
      </c>
      <c r="F1318" s="247">
        <f>'linked - DO NOT USE or DELETE'!U433</f>
        <v>0</v>
      </c>
      <c r="G1318" s="25" t="e">
        <f t="shared" si="784"/>
        <v>#DIV/0!</v>
      </c>
      <c r="H1318" s="248">
        <f>'linked - DO NOT USE or DELETE'!W433</f>
        <v>0</v>
      </c>
      <c r="I1318" s="688"/>
      <c r="J1318" s="406"/>
    </row>
    <row r="1319" spans="1:10" x14ac:dyDescent="0.25">
      <c r="A1319" s="21">
        <f>A$9</f>
        <v>1528</v>
      </c>
      <c r="B1319" s="149">
        <f t="shared" si="785"/>
        <v>2.9649595687331536E-2</v>
      </c>
      <c r="C1319" s="52">
        <f t="shared" si="786"/>
        <v>5</v>
      </c>
      <c r="D1319" s="249">
        <v>0</v>
      </c>
      <c r="E1319" s="23">
        <f t="shared" si="783"/>
        <v>0</v>
      </c>
      <c r="F1319" s="249">
        <v>0</v>
      </c>
      <c r="G1319" s="25" t="e">
        <f t="shared" si="784"/>
        <v>#DIV/0!</v>
      </c>
      <c r="H1319" s="248">
        <v>0</v>
      </c>
      <c r="I1319" s="688"/>
      <c r="J1319" s="406"/>
    </row>
    <row r="1320" spans="1:10" x14ac:dyDescent="0.25">
      <c r="A1320" s="21">
        <f>A$10</f>
        <v>1592</v>
      </c>
      <c r="B1320" s="149">
        <f t="shared" si="785"/>
        <v>4.1884816753926704E-2</v>
      </c>
      <c r="C1320" s="52">
        <f t="shared" si="786"/>
        <v>6</v>
      </c>
      <c r="D1320" s="249">
        <f>'Appendix J-2'!AC71</f>
        <v>0</v>
      </c>
      <c r="E1320" s="23">
        <f t="shared" si="783"/>
        <v>0</v>
      </c>
      <c r="F1320" s="249">
        <f>'Appendix J-2'!AE71</f>
        <v>0</v>
      </c>
      <c r="G1320" s="25" t="e">
        <f t="shared" si="784"/>
        <v>#DIV/0!</v>
      </c>
      <c r="H1320" s="248">
        <f>'Appendix J-2'!AG71</f>
        <v>0</v>
      </c>
      <c r="I1320" s="688"/>
      <c r="J1320" s="406"/>
    </row>
    <row r="1321" spans="1:10" x14ac:dyDescent="0.25">
      <c r="A1321" s="21">
        <f>A$11</f>
        <v>1642</v>
      </c>
      <c r="B1321" s="149">
        <f t="shared" si="785"/>
        <v>3.1407035175879394E-2</v>
      </c>
      <c r="C1321" s="20">
        <f t="shared" si="786"/>
        <v>7</v>
      </c>
      <c r="D1321" s="249">
        <f>'Appendix J-2'!AH71</f>
        <v>1</v>
      </c>
      <c r="E1321" s="23">
        <f t="shared" si="783"/>
        <v>2</v>
      </c>
      <c r="F1321" s="249">
        <f>'Appendix J-2'!AJ71</f>
        <v>2</v>
      </c>
      <c r="G1321" s="25">
        <f t="shared" si="784"/>
        <v>251</v>
      </c>
      <c r="H1321" s="248">
        <f>'Appendix J-2'!AL71</f>
        <v>502</v>
      </c>
      <c r="I1321" s="688"/>
      <c r="J1321" s="406"/>
    </row>
    <row r="1322" spans="1:10" x14ac:dyDescent="0.25">
      <c r="A1322" s="21">
        <f>A$12</f>
        <v>1675</v>
      </c>
      <c r="B1322" s="149">
        <f t="shared" si="785"/>
        <v>2.0097442143727162E-2</v>
      </c>
      <c r="C1322" s="20">
        <f t="shared" si="786"/>
        <v>8</v>
      </c>
      <c r="D1322" s="249">
        <f>'Appendix J-2'!AM71</f>
        <v>1</v>
      </c>
      <c r="E1322" s="23">
        <f t="shared" si="783"/>
        <v>5</v>
      </c>
      <c r="F1322" s="249">
        <f>'Appendix J-2'!AO71</f>
        <v>5</v>
      </c>
      <c r="G1322" s="25">
        <f t="shared" si="784"/>
        <v>276.37</v>
      </c>
      <c r="H1322" s="248">
        <f>'Appendix J-2'!AQ71</f>
        <v>1381.85</v>
      </c>
      <c r="I1322" s="688"/>
      <c r="J1322" s="406"/>
    </row>
    <row r="1323" spans="1:10" x14ac:dyDescent="0.25">
      <c r="A1323" s="21">
        <f>A$13</f>
        <v>1739</v>
      </c>
      <c r="B1323" s="149">
        <f t="shared" si="785"/>
        <v>3.8208955223880597E-2</v>
      </c>
      <c r="C1323" s="20">
        <f t="shared" si="786"/>
        <v>9</v>
      </c>
      <c r="D1323" s="249">
        <f>'Appendix J-2'!AR71</f>
        <v>0</v>
      </c>
      <c r="E1323" s="23">
        <f t="shared" si="783"/>
        <v>0</v>
      </c>
      <c r="F1323" s="249">
        <f>'Appendix J-2'!AT71</f>
        <v>0</v>
      </c>
      <c r="G1323" s="25" t="e">
        <f t="shared" si="784"/>
        <v>#DIV/0!</v>
      </c>
      <c r="H1323" s="248">
        <f>'Appendix J-2'!AV71</f>
        <v>0</v>
      </c>
      <c r="I1323" s="688"/>
      <c r="J1323" s="406"/>
    </row>
    <row r="1324" spans="1:10" x14ac:dyDescent="0.25">
      <c r="A1324" s="21">
        <f>A$14</f>
        <v>1752</v>
      </c>
      <c r="B1324" s="149">
        <f t="shared" si="785"/>
        <v>7.4755606670500289E-3</v>
      </c>
      <c r="C1324" s="20">
        <f t="shared" si="786"/>
        <v>10</v>
      </c>
      <c r="D1324" s="21">
        <f>D1322</f>
        <v>1</v>
      </c>
      <c r="E1324" s="22">
        <f>IF(TREND($E$1321:$E$1322,$C$1321:$C$1322,C1324)&lt;365,TREND($E$1321:$E$1322,$C$1321:$C$1322,C1324),365)</f>
        <v>11</v>
      </c>
      <c r="F1324" s="21">
        <f>D1324*E1324</f>
        <v>11</v>
      </c>
      <c r="G1324" s="24">
        <f>'DDS Rates for Amend'!BM17</f>
        <v>315.35000000000002</v>
      </c>
      <c r="H1324" s="33">
        <f>F1324*G1324</f>
        <v>3468.8500000000004</v>
      </c>
      <c r="I1324" s="688"/>
      <c r="J1324" s="406"/>
    </row>
    <row r="1325" spans="1:10" x14ac:dyDescent="0.25">
      <c r="A1325" s="21">
        <f>A$15</f>
        <v>1822</v>
      </c>
      <c r="B1325" s="149">
        <f t="shared" si="785"/>
        <v>3.9954337899543377E-2</v>
      </c>
      <c r="C1325" s="20">
        <f t="shared" si="786"/>
        <v>11</v>
      </c>
      <c r="D1325" s="21">
        <f>D1324</f>
        <v>1</v>
      </c>
      <c r="E1325" s="22">
        <f t="shared" ref="E1325:E1329" si="787">IF(TREND($E$1321:$E$1322,$C$1321:$C$1322,C1325)&lt;365,TREND($E$1321:$E$1322,$C$1321:$C$1322,C1325),365)</f>
        <v>14</v>
      </c>
      <c r="F1325" s="21">
        <f t="shared" ref="F1325:F1329" si="788">D1325*E1325</f>
        <v>14</v>
      </c>
      <c r="G1325" s="24">
        <f>'DDS Rates for Amend'!BM18</f>
        <v>323.54910000000001</v>
      </c>
      <c r="H1325" s="33">
        <f t="shared" ref="H1325:H1329" si="789">F1325*G1325</f>
        <v>4529.6873999999998</v>
      </c>
      <c r="I1325" s="688"/>
      <c r="J1325" s="406"/>
    </row>
    <row r="1326" spans="1:10" x14ac:dyDescent="0.25">
      <c r="A1326" s="21">
        <f>A$16</f>
        <v>1872</v>
      </c>
      <c r="B1326" s="149">
        <f t="shared" si="785"/>
        <v>2.7442371020856202E-2</v>
      </c>
      <c r="C1326" s="20">
        <f t="shared" si="786"/>
        <v>12</v>
      </c>
      <c r="D1326" s="21">
        <f t="shared" ref="D1326:D1329" si="790">D1325</f>
        <v>1</v>
      </c>
      <c r="E1326" s="22">
        <f t="shared" si="787"/>
        <v>17</v>
      </c>
      <c r="F1326" s="21">
        <f t="shared" si="788"/>
        <v>17</v>
      </c>
      <c r="G1326" s="24">
        <f>'DDS Rates for Amend'!BM19</f>
        <v>331.96137659999999</v>
      </c>
      <c r="H1326" s="33">
        <f t="shared" si="789"/>
        <v>5643.3434022000001</v>
      </c>
      <c r="I1326" s="688"/>
      <c r="J1326" s="406"/>
    </row>
    <row r="1327" spans="1:10" x14ac:dyDescent="0.25">
      <c r="A1327" s="21">
        <f>A$17</f>
        <v>1902</v>
      </c>
      <c r="B1327" s="149">
        <f t="shared" si="785"/>
        <v>1.6025641025641024E-2</v>
      </c>
      <c r="C1327" s="20">
        <f t="shared" si="786"/>
        <v>13</v>
      </c>
      <c r="D1327" s="21">
        <f t="shared" si="790"/>
        <v>1</v>
      </c>
      <c r="E1327" s="22">
        <f t="shared" si="787"/>
        <v>20</v>
      </c>
      <c r="F1327" s="21">
        <f t="shared" si="788"/>
        <v>20</v>
      </c>
      <c r="G1327" s="24">
        <f>'DDS Rates for Amend'!BM20</f>
        <v>340.59237239160001</v>
      </c>
      <c r="H1327" s="33">
        <f t="shared" si="789"/>
        <v>6811.8474478320004</v>
      </c>
      <c r="I1327" s="688"/>
      <c r="J1327" s="406"/>
    </row>
    <row r="1328" spans="1:10" x14ac:dyDescent="0.25">
      <c r="A1328" s="21">
        <f>A$18</f>
        <v>1932</v>
      </c>
      <c r="B1328" s="149">
        <f t="shared" si="785"/>
        <v>1.5772870662460567E-2</v>
      </c>
      <c r="C1328" s="20">
        <f t="shared" si="786"/>
        <v>14</v>
      </c>
      <c r="D1328" s="21">
        <f t="shared" si="790"/>
        <v>1</v>
      </c>
      <c r="E1328" s="22">
        <f t="shared" si="787"/>
        <v>23</v>
      </c>
      <c r="F1328" s="21">
        <f t="shared" si="788"/>
        <v>23</v>
      </c>
      <c r="G1328" s="24">
        <f>'DDS Rates for Amend'!BM21</f>
        <v>349.4477740737816</v>
      </c>
      <c r="H1328" s="33">
        <f t="shared" si="789"/>
        <v>8037.2988036969764</v>
      </c>
      <c r="I1328" s="688"/>
      <c r="J1328" s="406"/>
    </row>
    <row r="1329" spans="1:12" x14ac:dyDescent="0.25">
      <c r="A1329" s="21">
        <f>A$19</f>
        <v>1962</v>
      </c>
      <c r="B1329" s="149">
        <f t="shared" si="785"/>
        <v>1.5527950310559006E-2</v>
      </c>
      <c r="C1329" s="20">
        <f t="shared" si="786"/>
        <v>15</v>
      </c>
      <c r="D1329" s="21">
        <f t="shared" si="790"/>
        <v>1</v>
      </c>
      <c r="E1329" s="22">
        <f t="shared" si="787"/>
        <v>26</v>
      </c>
      <c r="F1329" s="21">
        <f t="shared" si="788"/>
        <v>26</v>
      </c>
      <c r="G1329" s="24">
        <f>'DDS Rates for Amend'!BM22</f>
        <v>358.5334161996999</v>
      </c>
      <c r="H1329" s="33">
        <f t="shared" si="789"/>
        <v>9321.8688211921981</v>
      </c>
      <c r="I1329" s="689"/>
      <c r="J1329" s="406"/>
      <c r="K1329" s="285">
        <f>SUM(H1315:H1329)</f>
        <v>39696.745874921173</v>
      </c>
      <c r="L1329" s="17">
        <f>IF(K1329='Appendix J-2'!CD71,0,error)</f>
        <v>0</v>
      </c>
    </row>
    <row r="1330" spans="1:12" x14ac:dyDescent="0.25">
      <c r="C1330"/>
      <c r="I1330" s="544"/>
      <c r="J1330"/>
    </row>
    <row r="1331" spans="1:12" ht="15" customHeight="1" x14ac:dyDescent="0.25">
      <c r="A1331" s="271" t="s">
        <v>30</v>
      </c>
      <c r="B1331" s="272"/>
      <c r="C1331" s="272"/>
      <c r="D1331" s="298" t="str">
        <f>'Appendix J-2'!B72</f>
        <v>Assistance</v>
      </c>
      <c r="E1331" s="292" t="str">
        <f>'Appendix J-2'!C72</f>
        <v>1 day</v>
      </c>
      <c r="F1331" s="690"/>
      <c r="G1331" s="690"/>
      <c r="H1331" s="690"/>
      <c r="I1331" s="687" t="s">
        <v>1117</v>
      </c>
      <c r="J1331" s="205"/>
    </row>
    <row r="1332" spans="1:12" x14ac:dyDescent="0.25">
      <c r="A1332" s="147" t="s">
        <v>26</v>
      </c>
      <c r="B1332" s="147" t="s">
        <v>27</v>
      </c>
      <c r="C1332" s="51" t="s">
        <v>166</v>
      </c>
      <c r="D1332" s="91" t="s">
        <v>154</v>
      </c>
      <c r="E1332" s="89" t="s">
        <v>155</v>
      </c>
      <c r="F1332" s="34" t="s">
        <v>158</v>
      </c>
      <c r="G1332" s="35" t="s">
        <v>156</v>
      </c>
      <c r="H1332" s="51" t="s">
        <v>157</v>
      </c>
      <c r="I1332" s="688"/>
      <c r="J1332" s="205"/>
    </row>
    <row r="1333" spans="1:12" x14ac:dyDescent="0.25">
      <c r="A1333" s="21">
        <f>A$5</f>
        <v>1182</v>
      </c>
      <c r="B1333" s="148"/>
      <c r="C1333" s="144">
        <v>1</v>
      </c>
      <c r="D1333" s="210">
        <f>'linked - DO NOT USE or DELETE'!D434</f>
        <v>0</v>
      </c>
      <c r="E1333" s="23">
        <f t="shared" ref="E1333:E1341" si="791">IF(F1333=0,0,F1333/D1333)</f>
        <v>0</v>
      </c>
      <c r="F1333" s="210">
        <f>'linked - DO NOT USE or DELETE'!F434</f>
        <v>0</v>
      </c>
      <c r="G1333" s="25" t="e">
        <f t="shared" ref="G1333:G1341" si="792">H1333/F1333</f>
        <v>#DIV/0!</v>
      </c>
      <c r="H1333" s="211">
        <f>'linked - DO NOT USE or DELETE'!H434</f>
        <v>0</v>
      </c>
      <c r="I1333" s="688"/>
      <c r="J1333" s="205"/>
    </row>
    <row r="1334" spans="1:12" x14ac:dyDescent="0.25">
      <c r="A1334" s="21">
        <f>A$6</f>
        <v>1288</v>
      </c>
      <c r="B1334" s="149">
        <f>(A1334-A1333)/A1333</f>
        <v>8.9678510998307953E-2</v>
      </c>
      <c r="C1334" s="52">
        <v>2</v>
      </c>
      <c r="D1334" s="210">
        <f>'linked - DO NOT USE or DELETE'!I434</f>
        <v>0</v>
      </c>
      <c r="E1334" s="23">
        <f t="shared" si="791"/>
        <v>0</v>
      </c>
      <c r="F1334" s="210">
        <f>'linked - DO NOT USE or DELETE'!K434</f>
        <v>0</v>
      </c>
      <c r="G1334" s="25" t="e">
        <f t="shared" si="792"/>
        <v>#DIV/0!</v>
      </c>
      <c r="H1334" s="211">
        <f>'linked - DO NOT USE or DELETE'!M434</f>
        <v>0</v>
      </c>
      <c r="I1334" s="688"/>
      <c r="J1334" s="205"/>
    </row>
    <row r="1335" spans="1:12" x14ac:dyDescent="0.25">
      <c r="A1335" s="21">
        <f>A$7</f>
        <v>1495</v>
      </c>
      <c r="B1335" s="149">
        <f t="shared" ref="B1335:B1347" si="793">(A1335-A1334)/A1334</f>
        <v>0.16071428571428573</v>
      </c>
      <c r="C1335" s="52">
        <v>3</v>
      </c>
      <c r="D1335" s="210">
        <f>'linked - DO NOT USE or DELETE'!N434</f>
        <v>0</v>
      </c>
      <c r="E1335" s="23">
        <f t="shared" si="791"/>
        <v>0</v>
      </c>
      <c r="F1335" s="210">
        <f>'linked - DO NOT USE or DELETE'!P434</f>
        <v>0</v>
      </c>
      <c r="G1335" s="25" t="e">
        <f t="shared" si="792"/>
        <v>#DIV/0!</v>
      </c>
      <c r="H1335" s="33">
        <f>'linked - DO NOT USE or DELETE'!R434</f>
        <v>0</v>
      </c>
      <c r="I1335" s="688"/>
      <c r="J1335" s="205"/>
    </row>
    <row r="1336" spans="1:12" x14ac:dyDescent="0.25">
      <c r="A1336" s="21">
        <f>A$8</f>
        <v>1484</v>
      </c>
      <c r="B1336" s="149">
        <f t="shared" si="793"/>
        <v>-7.3578595317725752E-3</v>
      </c>
      <c r="C1336" s="52">
        <f t="shared" ref="C1336:C1347" si="794">C1335+1</f>
        <v>4</v>
      </c>
      <c r="D1336" s="247">
        <f>'linked - DO NOT USE or DELETE'!S434</f>
        <v>0</v>
      </c>
      <c r="E1336" s="23">
        <f t="shared" si="791"/>
        <v>0</v>
      </c>
      <c r="F1336" s="247">
        <f>'linked - DO NOT USE or DELETE'!U434</f>
        <v>0</v>
      </c>
      <c r="G1336" s="25" t="e">
        <f t="shared" si="792"/>
        <v>#DIV/0!</v>
      </c>
      <c r="H1336" s="248">
        <f>'linked - DO NOT USE or DELETE'!W434</f>
        <v>0</v>
      </c>
      <c r="I1336" s="688"/>
      <c r="J1336" s="205"/>
    </row>
    <row r="1337" spans="1:12" x14ac:dyDescent="0.25">
      <c r="A1337" s="21">
        <f>A$9</f>
        <v>1528</v>
      </c>
      <c r="B1337" s="149">
        <f t="shared" si="793"/>
        <v>2.9649595687331536E-2</v>
      </c>
      <c r="C1337" s="52">
        <f t="shared" si="794"/>
        <v>5</v>
      </c>
      <c r="D1337" s="249">
        <v>0</v>
      </c>
      <c r="E1337" s="23">
        <f t="shared" si="791"/>
        <v>0</v>
      </c>
      <c r="F1337" s="249">
        <v>0</v>
      </c>
      <c r="G1337" s="25" t="e">
        <f t="shared" si="792"/>
        <v>#DIV/0!</v>
      </c>
      <c r="H1337" s="248">
        <v>0</v>
      </c>
      <c r="I1337" s="688"/>
      <c r="J1337" s="205"/>
    </row>
    <row r="1338" spans="1:12" x14ac:dyDescent="0.25">
      <c r="A1338" s="21">
        <f>A$10</f>
        <v>1592</v>
      </c>
      <c r="B1338" s="149">
        <f t="shared" si="793"/>
        <v>4.1884816753926704E-2</v>
      </c>
      <c r="C1338" s="52">
        <f t="shared" si="794"/>
        <v>6</v>
      </c>
      <c r="D1338" s="249">
        <f>'Appendix J-2'!AC72</f>
        <v>0</v>
      </c>
      <c r="E1338" s="23">
        <f t="shared" si="791"/>
        <v>0</v>
      </c>
      <c r="F1338" s="249">
        <f>'Appendix J-2'!AE72</f>
        <v>0</v>
      </c>
      <c r="G1338" s="25" t="e">
        <f t="shared" si="792"/>
        <v>#DIV/0!</v>
      </c>
      <c r="H1338" s="248">
        <f>'Appendix J-2'!AG72</f>
        <v>0</v>
      </c>
      <c r="I1338" s="688"/>
      <c r="J1338" s="205"/>
    </row>
    <row r="1339" spans="1:12" x14ac:dyDescent="0.25">
      <c r="A1339" s="21">
        <f>A$11</f>
        <v>1642</v>
      </c>
      <c r="B1339" s="149">
        <f t="shared" si="793"/>
        <v>3.1407035175879394E-2</v>
      </c>
      <c r="C1339" s="52">
        <f t="shared" si="794"/>
        <v>7</v>
      </c>
      <c r="D1339" s="249">
        <f>'Appendix J-2'!AH72</f>
        <v>11</v>
      </c>
      <c r="E1339" s="23">
        <f t="shared" si="791"/>
        <v>129.09090909090909</v>
      </c>
      <c r="F1339" s="249">
        <f>'Appendix J-2'!AJ72</f>
        <v>1420</v>
      </c>
      <c r="G1339" s="25">
        <f t="shared" si="792"/>
        <v>281.25847887323943</v>
      </c>
      <c r="H1339" s="248">
        <f>'Appendix J-2'!AL72</f>
        <v>399387.04</v>
      </c>
      <c r="I1339" s="688"/>
      <c r="J1339" s="205"/>
    </row>
    <row r="1340" spans="1:12" x14ac:dyDescent="0.25">
      <c r="A1340" s="21">
        <f>A$12</f>
        <v>1675</v>
      </c>
      <c r="B1340" s="149">
        <f t="shared" si="793"/>
        <v>2.0097442143727162E-2</v>
      </c>
      <c r="C1340" s="20">
        <f t="shared" si="794"/>
        <v>8</v>
      </c>
      <c r="D1340" s="249">
        <f>'Appendix J-2'!AM72</f>
        <v>11</v>
      </c>
      <c r="E1340" s="23">
        <f t="shared" si="791"/>
        <v>308.45454545454544</v>
      </c>
      <c r="F1340" s="249">
        <f>'Appendix J-2'!AO72</f>
        <v>3393</v>
      </c>
      <c r="G1340" s="25">
        <f t="shared" si="792"/>
        <v>290.99540229885059</v>
      </c>
      <c r="H1340" s="248">
        <f>'Appendix J-2'!AQ72</f>
        <v>987347.4</v>
      </c>
      <c r="I1340" s="688"/>
      <c r="J1340" s="205"/>
    </row>
    <row r="1341" spans="1:12" x14ac:dyDescent="0.25">
      <c r="A1341" s="21">
        <f>A$13</f>
        <v>1739</v>
      </c>
      <c r="B1341" s="149">
        <f t="shared" si="793"/>
        <v>3.8208955223880597E-2</v>
      </c>
      <c r="C1341" s="20">
        <f t="shared" si="794"/>
        <v>9</v>
      </c>
      <c r="D1341" s="249">
        <f>'Appendix J-2'!AR72</f>
        <v>13</v>
      </c>
      <c r="E1341" s="23">
        <f t="shared" si="791"/>
        <v>278.92307692307691</v>
      </c>
      <c r="F1341" s="249">
        <f>'Appendix J-2'!AT72</f>
        <v>3626</v>
      </c>
      <c r="G1341" s="25">
        <f t="shared" si="792"/>
        <v>306.75887203530061</v>
      </c>
      <c r="H1341" s="248">
        <f>'Appendix J-2'!AV72</f>
        <v>1112307.67</v>
      </c>
      <c r="I1341" s="688"/>
      <c r="J1341" s="205"/>
    </row>
    <row r="1342" spans="1:12" x14ac:dyDescent="0.25">
      <c r="A1342" s="21">
        <f>A$14</f>
        <v>1752</v>
      </c>
      <c r="B1342" s="149">
        <f t="shared" si="793"/>
        <v>7.4755606670500289E-3</v>
      </c>
      <c r="C1342" s="20">
        <f t="shared" si="794"/>
        <v>10</v>
      </c>
      <c r="D1342" s="21">
        <f>AO828</f>
        <v>9</v>
      </c>
      <c r="E1342" s="22">
        <f>E856</f>
        <v>227.04069599788619</v>
      </c>
      <c r="F1342" s="21">
        <f>D1342*E1342</f>
        <v>2043.3662639809756</v>
      </c>
      <c r="G1342" s="24">
        <f>'DDS Rates for Amend'!BN17</f>
        <v>325.7</v>
      </c>
      <c r="H1342" s="33">
        <f>F1342*G1342</f>
        <v>665524.3921786038</v>
      </c>
      <c r="I1342" s="688"/>
      <c r="J1342" s="205"/>
    </row>
    <row r="1343" spans="1:12" x14ac:dyDescent="0.25">
      <c r="A1343" s="21">
        <f>A$15</f>
        <v>1822</v>
      </c>
      <c r="B1343" s="149">
        <f t="shared" si="793"/>
        <v>3.9954337899543377E-2</v>
      </c>
      <c r="C1343" s="20">
        <f t="shared" si="794"/>
        <v>11</v>
      </c>
      <c r="D1343" s="21">
        <f>AR828</f>
        <v>9</v>
      </c>
      <c r="E1343" s="22">
        <f t="shared" ref="E1343:E1347" si="795">E857</f>
        <v>230.43636575414749</v>
      </c>
      <c r="F1343" s="21">
        <f t="shared" ref="F1343:F1347" si="796">D1343*E1343</f>
        <v>2073.9272917873272</v>
      </c>
      <c r="G1343" s="24">
        <f>'DDS Rates for Amend'!BN18</f>
        <v>334.16820000000001</v>
      </c>
      <c r="H1343" s="33">
        <f t="shared" ref="H1343:H1347" si="797">F1343*G1343</f>
        <v>693040.55002744601</v>
      </c>
      <c r="I1343" s="688"/>
      <c r="J1343" s="205"/>
    </row>
    <row r="1344" spans="1:12" x14ac:dyDescent="0.25">
      <c r="A1344" s="21">
        <f>A$16</f>
        <v>1872</v>
      </c>
      <c r="B1344" s="149">
        <f t="shared" si="793"/>
        <v>2.7442371020856202E-2</v>
      </c>
      <c r="C1344" s="20">
        <f t="shared" si="794"/>
        <v>12</v>
      </c>
      <c r="D1344" s="21">
        <f>AU828</f>
        <v>10</v>
      </c>
      <c r="E1344" s="22">
        <f t="shared" si="795"/>
        <v>233.83203551040879</v>
      </c>
      <c r="F1344" s="21">
        <f t="shared" si="796"/>
        <v>2338.3203551040879</v>
      </c>
      <c r="G1344" s="24">
        <f>'DDS Rates for Amend'!BN19</f>
        <v>342.85657320000001</v>
      </c>
      <c r="H1344" s="33">
        <f t="shared" si="797"/>
        <v>801708.50399479468</v>
      </c>
      <c r="I1344" s="688"/>
      <c r="J1344" s="205"/>
    </row>
    <row r="1345" spans="1:12" x14ac:dyDescent="0.25">
      <c r="A1345" s="21">
        <f>A$17</f>
        <v>1902</v>
      </c>
      <c r="B1345" s="149">
        <f t="shared" si="793"/>
        <v>1.6025641025641024E-2</v>
      </c>
      <c r="C1345" s="20">
        <f t="shared" si="794"/>
        <v>13</v>
      </c>
      <c r="D1345" s="21">
        <f>AX828</f>
        <v>10</v>
      </c>
      <c r="E1345" s="22">
        <f t="shared" si="795"/>
        <v>237.22770526667011</v>
      </c>
      <c r="F1345" s="21">
        <f t="shared" si="796"/>
        <v>2372.2770526667009</v>
      </c>
      <c r="G1345" s="24">
        <f>'DDS Rates for Amend'!BN20</f>
        <v>351.77084410320003</v>
      </c>
      <c r="H1345" s="33">
        <f t="shared" si="797"/>
        <v>834497.90126321686</v>
      </c>
      <c r="I1345" s="688"/>
      <c r="J1345" s="205"/>
    </row>
    <row r="1346" spans="1:12" x14ac:dyDescent="0.25">
      <c r="A1346" s="21">
        <f>A$18</f>
        <v>1932</v>
      </c>
      <c r="B1346" s="149">
        <f t="shared" si="793"/>
        <v>1.5772870662460567E-2</v>
      </c>
      <c r="C1346" s="20">
        <f t="shared" si="794"/>
        <v>14</v>
      </c>
      <c r="D1346" s="21">
        <f>BA828</f>
        <v>10</v>
      </c>
      <c r="E1346" s="22">
        <f t="shared" si="795"/>
        <v>240.62337502293141</v>
      </c>
      <c r="F1346" s="21">
        <f t="shared" si="796"/>
        <v>2406.233750229314</v>
      </c>
      <c r="G1346" s="24">
        <f>'DDS Rates for Amend'!BN21</f>
        <v>360.91688604988326</v>
      </c>
      <c r="H1346" s="33">
        <f t="shared" si="797"/>
        <v>868450.39224089659</v>
      </c>
      <c r="I1346" s="688"/>
      <c r="J1346" s="205"/>
    </row>
    <row r="1347" spans="1:12" x14ac:dyDescent="0.25">
      <c r="A1347" s="21">
        <f>A$19</f>
        <v>1962</v>
      </c>
      <c r="B1347" s="149">
        <f t="shared" si="793"/>
        <v>1.5527950310559006E-2</v>
      </c>
      <c r="C1347" s="20">
        <f t="shared" si="794"/>
        <v>15</v>
      </c>
      <c r="D1347" s="21">
        <f>BD828</f>
        <v>10</v>
      </c>
      <c r="E1347" s="22">
        <f t="shared" si="795"/>
        <v>244.01904477919271</v>
      </c>
      <c r="F1347" s="21">
        <f t="shared" si="796"/>
        <v>2440.190447791927</v>
      </c>
      <c r="G1347" s="24">
        <f>'DDS Rates for Amend'!BN22</f>
        <v>370.30072508718024</v>
      </c>
      <c r="H1347" s="33">
        <f t="shared" si="797"/>
        <v>903604.2921681616</v>
      </c>
      <c r="I1347" s="689"/>
      <c r="J1347" s="205"/>
      <c r="K1347" s="285">
        <f>SUM(H1333:H1347)</f>
        <v>7265868.1418731194</v>
      </c>
      <c r="L1347" s="17">
        <f>IF(K1347='Appendix J-2'!CD72,0,error)</f>
        <v>0</v>
      </c>
    </row>
    <row r="1348" spans="1:12" x14ac:dyDescent="0.25">
      <c r="C1348"/>
      <c r="I1348" s="568"/>
      <c r="J1348"/>
    </row>
    <row r="1349" spans="1:12" x14ac:dyDescent="0.25">
      <c r="A1349" s="271" t="s">
        <v>31</v>
      </c>
      <c r="B1349" s="272"/>
      <c r="C1349" s="272"/>
      <c r="D1349" s="298" t="str">
        <f>'Appendix J-2'!B73</f>
        <v>Assistance</v>
      </c>
      <c r="E1349" s="292" t="str">
        <f>'Appendix J-2'!C73</f>
        <v>1 day</v>
      </c>
      <c r="F1349" s="690"/>
      <c r="G1349" s="690"/>
      <c r="H1349" s="690"/>
      <c r="I1349" s="687" t="s">
        <v>1117</v>
      </c>
      <c r="J1349" s="205"/>
    </row>
    <row r="1350" spans="1:12" x14ac:dyDescent="0.25">
      <c r="A1350" s="147" t="s">
        <v>26</v>
      </c>
      <c r="B1350" s="147" t="s">
        <v>27</v>
      </c>
      <c r="C1350" s="51" t="s">
        <v>166</v>
      </c>
      <c r="D1350" s="91" t="s">
        <v>154</v>
      </c>
      <c r="E1350" s="89" t="s">
        <v>155</v>
      </c>
      <c r="F1350" s="34" t="s">
        <v>158</v>
      </c>
      <c r="G1350" s="35" t="s">
        <v>156</v>
      </c>
      <c r="H1350" s="51" t="s">
        <v>157</v>
      </c>
      <c r="I1350" s="688"/>
      <c r="J1350" s="205"/>
    </row>
    <row r="1351" spans="1:12" x14ac:dyDescent="0.25">
      <c r="A1351" s="21">
        <f>A$5</f>
        <v>1182</v>
      </c>
      <c r="B1351" s="148"/>
      <c r="C1351" s="144">
        <v>1</v>
      </c>
      <c r="D1351" s="210">
        <f>'linked - DO NOT USE or DELETE'!D435</f>
        <v>0</v>
      </c>
      <c r="E1351" s="22">
        <f>IF(F1351=0,0,F1351/D1351)</f>
        <v>0</v>
      </c>
      <c r="F1351" s="210">
        <f>'linked - DO NOT USE or DELETE'!F435</f>
        <v>0</v>
      </c>
      <c r="G1351" s="25" t="e">
        <f t="shared" ref="G1351:G1359" si="798">H1351/F1351</f>
        <v>#DIV/0!</v>
      </c>
      <c r="H1351" s="211">
        <f>'linked - DO NOT USE or DELETE'!H435</f>
        <v>0</v>
      </c>
      <c r="I1351" s="688"/>
      <c r="J1351" s="205"/>
    </row>
    <row r="1352" spans="1:12" x14ac:dyDescent="0.25">
      <c r="A1352" s="21">
        <f>A$6</f>
        <v>1288</v>
      </c>
      <c r="B1352" s="149">
        <f>(A1352-A1351)/A1351</f>
        <v>8.9678510998307953E-2</v>
      </c>
      <c r="C1352" s="52">
        <v>2</v>
      </c>
      <c r="D1352" s="210">
        <f>'linked - DO NOT USE or DELETE'!I435</f>
        <v>0</v>
      </c>
      <c r="E1352" s="22">
        <f t="shared" ref="E1352:E1359" si="799">IF(F1352=0,0,F1352/D1352)</f>
        <v>0</v>
      </c>
      <c r="F1352" s="210">
        <f>'linked - DO NOT USE or DELETE'!K435</f>
        <v>0</v>
      </c>
      <c r="G1352" s="25" t="e">
        <f t="shared" si="798"/>
        <v>#DIV/0!</v>
      </c>
      <c r="H1352" s="211">
        <f>'linked - DO NOT USE or DELETE'!M435</f>
        <v>0</v>
      </c>
      <c r="I1352" s="688"/>
      <c r="J1352" s="205"/>
    </row>
    <row r="1353" spans="1:12" x14ac:dyDescent="0.25">
      <c r="A1353" s="21">
        <f>A$7</f>
        <v>1495</v>
      </c>
      <c r="B1353" s="149">
        <f t="shared" ref="B1353:B1365" si="800">(A1353-A1352)/A1352</f>
        <v>0.16071428571428573</v>
      </c>
      <c r="C1353" s="52">
        <v>3</v>
      </c>
      <c r="D1353" s="210">
        <f>'linked - DO NOT USE or DELETE'!N435</f>
        <v>0</v>
      </c>
      <c r="E1353" s="22">
        <f t="shared" si="799"/>
        <v>0</v>
      </c>
      <c r="F1353" s="210">
        <f>'linked - DO NOT USE or DELETE'!P435</f>
        <v>0</v>
      </c>
      <c r="G1353" s="25" t="e">
        <f t="shared" si="798"/>
        <v>#DIV/0!</v>
      </c>
      <c r="H1353" s="33">
        <f>'linked - DO NOT USE or DELETE'!R435</f>
        <v>0</v>
      </c>
      <c r="I1353" s="688"/>
      <c r="J1353" s="205"/>
    </row>
    <row r="1354" spans="1:12" x14ac:dyDescent="0.25">
      <c r="A1354" s="21">
        <f>A$8</f>
        <v>1484</v>
      </c>
      <c r="B1354" s="149">
        <f t="shared" si="800"/>
        <v>-7.3578595317725752E-3</v>
      </c>
      <c r="C1354" s="52">
        <f t="shared" ref="C1354:C1365" si="801">C1353+1</f>
        <v>4</v>
      </c>
      <c r="D1354" s="247">
        <f>'linked - DO NOT USE or DELETE'!S435</f>
        <v>0</v>
      </c>
      <c r="E1354" s="22">
        <f t="shared" si="799"/>
        <v>0</v>
      </c>
      <c r="F1354" s="247">
        <f>'linked - DO NOT USE or DELETE'!U435</f>
        <v>0</v>
      </c>
      <c r="G1354" s="25" t="e">
        <f t="shared" si="798"/>
        <v>#DIV/0!</v>
      </c>
      <c r="H1354" s="248">
        <f>'linked - DO NOT USE or DELETE'!W435</f>
        <v>0</v>
      </c>
      <c r="I1354" s="688"/>
      <c r="J1354" s="205"/>
    </row>
    <row r="1355" spans="1:12" x14ac:dyDescent="0.25">
      <c r="A1355" s="21">
        <f>A$9</f>
        <v>1528</v>
      </c>
      <c r="B1355" s="149">
        <f t="shared" si="800"/>
        <v>2.9649595687331536E-2</v>
      </c>
      <c r="C1355" s="52">
        <f t="shared" si="801"/>
        <v>5</v>
      </c>
      <c r="D1355" s="249">
        <f>'Appendix J-2'!X73</f>
        <v>0</v>
      </c>
      <c r="E1355" s="22">
        <f t="shared" si="799"/>
        <v>0</v>
      </c>
      <c r="F1355" s="249">
        <f>'Appendix J-2'!Z73</f>
        <v>0</v>
      </c>
      <c r="G1355" s="25" t="e">
        <f t="shared" si="798"/>
        <v>#DIV/0!</v>
      </c>
      <c r="H1355" s="248">
        <f>'Appendix J-2'!AB73</f>
        <v>0</v>
      </c>
      <c r="I1355" s="688"/>
      <c r="J1355" s="205"/>
    </row>
    <row r="1356" spans="1:12" x14ac:dyDescent="0.25">
      <c r="A1356" s="21">
        <f>A$10</f>
        <v>1592</v>
      </c>
      <c r="B1356" s="149">
        <f t="shared" si="800"/>
        <v>4.1884816753926704E-2</v>
      </c>
      <c r="C1356" s="20">
        <f t="shared" si="801"/>
        <v>6</v>
      </c>
      <c r="D1356" s="249">
        <f>'Appendix J-2'!AC73</f>
        <v>0</v>
      </c>
      <c r="E1356" s="22">
        <f t="shared" si="799"/>
        <v>0</v>
      </c>
      <c r="F1356" s="249">
        <f>'Appendix J-2'!AE73</f>
        <v>0</v>
      </c>
      <c r="G1356" s="25" t="e">
        <f t="shared" si="798"/>
        <v>#DIV/0!</v>
      </c>
      <c r="H1356" s="248">
        <f>'Appendix J-2'!AG73</f>
        <v>0</v>
      </c>
      <c r="I1356" s="688"/>
      <c r="J1356" s="205"/>
    </row>
    <row r="1357" spans="1:12" x14ac:dyDescent="0.25">
      <c r="A1357" s="21">
        <f>A$11</f>
        <v>1642</v>
      </c>
      <c r="B1357" s="149">
        <f t="shared" si="800"/>
        <v>3.1407035175879394E-2</v>
      </c>
      <c r="C1357" s="20">
        <f t="shared" si="801"/>
        <v>7</v>
      </c>
      <c r="D1357" s="249">
        <f>'Appendix J-2'!AH73</f>
        <v>0</v>
      </c>
      <c r="E1357" s="22">
        <f t="shared" si="799"/>
        <v>0</v>
      </c>
      <c r="F1357" s="249">
        <f>'Appendix J-2'!AJ73</f>
        <v>0</v>
      </c>
      <c r="G1357" s="25" t="e">
        <f t="shared" si="798"/>
        <v>#DIV/0!</v>
      </c>
      <c r="H1357" s="248">
        <f>'Appendix J-2'!AL73</f>
        <v>0</v>
      </c>
      <c r="I1357" s="688"/>
      <c r="J1357" s="205"/>
    </row>
    <row r="1358" spans="1:12" x14ac:dyDescent="0.25">
      <c r="A1358" s="21">
        <f>A$12</f>
        <v>1675</v>
      </c>
      <c r="B1358" s="149">
        <f t="shared" si="800"/>
        <v>2.0097442143727162E-2</v>
      </c>
      <c r="C1358" s="20">
        <f t="shared" si="801"/>
        <v>8</v>
      </c>
      <c r="D1358" s="249">
        <f>'Appendix J-2'!AM73</f>
        <v>0</v>
      </c>
      <c r="E1358" s="22">
        <f t="shared" si="799"/>
        <v>0</v>
      </c>
      <c r="F1358" s="249">
        <f>'Appendix J-2'!AO73</f>
        <v>0</v>
      </c>
      <c r="G1358" s="25" t="e">
        <f t="shared" si="798"/>
        <v>#DIV/0!</v>
      </c>
      <c r="H1358" s="248">
        <f>'Appendix J-2'!AQ73</f>
        <v>0</v>
      </c>
      <c r="I1358" s="688"/>
      <c r="J1358" s="205"/>
    </row>
    <row r="1359" spans="1:12" x14ac:dyDescent="0.25">
      <c r="A1359" s="21">
        <f>A$13</f>
        <v>1739</v>
      </c>
      <c r="B1359" s="149">
        <f t="shared" si="800"/>
        <v>3.8208955223880597E-2</v>
      </c>
      <c r="C1359" s="20">
        <f t="shared" si="801"/>
        <v>9</v>
      </c>
      <c r="D1359" s="249">
        <f>'Appendix J-2'!AR73</f>
        <v>0</v>
      </c>
      <c r="E1359" s="22">
        <f t="shared" si="799"/>
        <v>0</v>
      </c>
      <c r="F1359" s="249">
        <f>'Appendix J-2'!AT73</f>
        <v>0</v>
      </c>
      <c r="G1359" s="25" t="e">
        <f t="shared" si="798"/>
        <v>#DIV/0!</v>
      </c>
      <c r="H1359" s="248">
        <f>'Appendix J-2'!AV73</f>
        <v>0</v>
      </c>
      <c r="I1359" s="688"/>
      <c r="J1359" s="205"/>
    </row>
    <row r="1360" spans="1:12" x14ac:dyDescent="0.25">
      <c r="A1360" s="21">
        <f>A$14</f>
        <v>1752</v>
      </c>
      <c r="B1360" s="149">
        <f t="shared" si="800"/>
        <v>7.4755606670500289E-3</v>
      </c>
      <c r="C1360" s="20">
        <f t="shared" si="801"/>
        <v>10</v>
      </c>
      <c r="D1360" s="21">
        <v>1</v>
      </c>
      <c r="E1360" s="22">
        <f>E874</f>
        <v>202.38095238095241</v>
      </c>
      <c r="F1360" s="21">
        <f>D1360*E1360</f>
        <v>202.38095238095241</v>
      </c>
      <c r="G1360" s="24">
        <f>'DDS Rates for Amend'!BO17</f>
        <v>411.14</v>
      </c>
      <c r="H1360" s="33">
        <f t="shared" ref="H1360" si="802">F1360*G1360</f>
        <v>83206.904761904763</v>
      </c>
      <c r="I1360" s="688"/>
      <c r="J1360" s="205"/>
    </row>
    <row r="1361" spans="1:12" x14ac:dyDescent="0.25">
      <c r="A1361" s="21">
        <f>A$15</f>
        <v>1822</v>
      </c>
      <c r="B1361" s="149">
        <f t="shared" si="800"/>
        <v>3.9954337899543377E-2</v>
      </c>
      <c r="C1361" s="20">
        <f t="shared" si="801"/>
        <v>11</v>
      </c>
      <c r="D1361" s="21">
        <f>D1360</f>
        <v>1</v>
      </c>
      <c r="E1361" s="22">
        <f t="shared" ref="E1361:E1365" si="803">E875</f>
        <v>214.59404761904767</v>
      </c>
      <c r="F1361" s="21">
        <f t="shared" ref="F1361:F1365" si="804">D1361*E1361</f>
        <v>214.59404761904767</v>
      </c>
      <c r="G1361" s="24">
        <f>'DDS Rates for Amend'!BO18</f>
        <v>421.82963999999998</v>
      </c>
      <c r="H1361" s="33">
        <f t="shared" ref="H1361:H1365" si="805">F1361*G1361</f>
        <v>90522.129853285733</v>
      </c>
      <c r="I1361" s="688"/>
      <c r="J1361" s="205"/>
    </row>
    <row r="1362" spans="1:12" x14ac:dyDescent="0.25">
      <c r="A1362" s="21">
        <f>A$16</f>
        <v>1872</v>
      </c>
      <c r="B1362" s="149">
        <f t="shared" si="800"/>
        <v>2.7442371020856202E-2</v>
      </c>
      <c r="C1362" s="20">
        <f t="shared" si="801"/>
        <v>12</v>
      </c>
      <c r="D1362" s="21">
        <f t="shared" ref="D1362:D1365" si="806">D1361</f>
        <v>1</v>
      </c>
      <c r="E1362" s="22">
        <f t="shared" si="803"/>
        <v>226.80714285714288</v>
      </c>
      <c r="F1362" s="21">
        <f t="shared" si="804"/>
        <v>226.80714285714288</v>
      </c>
      <c r="G1362" s="24">
        <f>'DDS Rates for Amend'!BO19</f>
        <v>432.79721064</v>
      </c>
      <c r="H1362" s="33">
        <f t="shared" si="805"/>
        <v>98161.498781799441</v>
      </c>
      <c r="I1362" s="688"/>
      <c r="J1362" s="205"/>
    </row>
    <row r="1363" spans="1:12" x14ac:dyDescent="0.25">
      <c r="A1363" s="21">
        <f>A$17</f>
        <v>1902</v>
      </c>
      <c r="B1363" s="149">
        <f t="shared" si="800"/>
        <v>1.6025641025641024E-2</v>
      </c>
      <c r="C1363" s="20">
        <f t="shared" si="801"/>
        <v>13</v>
      </c>
      <c r="D1363" s="21">
        <f t="shared" si="806"/>
        <v>1</v>
      </c>
      <c r="E1363" s="22">
        <f t="shared" si="803"/>
        <v>239.02023809523814</v>
      </c>
      <c r="F1363" s="21">
        <f t="shared" si="804"/>
        <v>239.02023809523814</v>
      </c>
      <c r="G1363" s="24">
        <f>'DDS Rates for Amend'!BO20</f>
        <v>444.04993811664002</v>
      </c>
      <c r="H1363" s="33">
        <f t="shared" si="805"/>
        <v>106136.92193481507</v>
      </c>
      <c r="I1363" s="688"/>
      <c r="J1363" s="205"/>
    </row>
    <row r="1364" spans="1:12" x14ac:dyDescent="0.25">
      <c r="A1364" s="21">
        <f>A$18</f>
        <v>1932</v>
      </c>
      <c r="B1364" s="149">
        <f t="shared" si="800"/>
        <v>1.5772870662460567E-2</v>
      </c>
      <c r="C1364" s="20">
        <f t="shared" si="801"/>
        <v>14</v>
      </c>
      <c r="D1364" s="21">
        <f t="shared" si="806"/>
        <v>1</v>
      </c>
      <c r="E1364" s="22">
        <f t="shared" si="803"/>
        <v>251.23333333333341</v>
      </c>
      <c r="F1364" s="21">
        <f t="shared" si="804"/>
        <v>251.23333333333341</v>
      </c>
      <c r="G1364" s="24">
        <f>'DDS Rates for Amend'!BO21</f>
        <v>455.59523650767267</v>
      </c>
      <c r="H1364" s="33">
        <f t="shared" si="805"/>
        <v>114460.709918611</v>
      </c>
      <c r="I1364" s="688"/>
      <c r="J1364" s="205"/>
    </row>
    <row r="1365" spans="1:12" x14ac:dyDescent="0.25">
      <c r="A1365" s="21">
        <f>A$19</f>
        <v>1962</v>
      </c>
      <c r="B1365" s="149">
        <f t="shared" si="800"/>
        <v>1.5527950310559006E-2</v>
      </c>
      <c r="C1365" s="20">
        <f t="shared" si="801"/>
        <v>15</v>
      </c>
      <c r="D1365" s="21">
        <f t="shared" si="806"/>
        <v>1</v>
      </c>
      <c r="E1365" s="22">
        <f t="shared" si="803"/>
        <v>263.44642857142861</v>
      </c>
      <c r="F1365" s="21">
        <f t="shared" si="804"/>
        <v>263.44642857142861</v>
      </c>
      <c r="G1365" s="24">
        <f>'DDS Rates for Amend'!BO22</f>
        <v>467.44071265687217</v>
      </c>
      <c r="H1365" s="33">
        <f t="shared" si="805"/>
        <v>123145.58631833635</v>
      </c>
      <c r="I1365" s="689"/>
      <c r="J1365" s="205"/>
      <c r="K1365" s="285">
        <f>SUM(H1351:H1365)</f>
        <v>615633.75156875234</v>
      </c>
      <c r="L1365" s="17">
        <f>IF(K1365='Appendix J-2'!CD73,0,error)</f>
        <v>0</v>
      </c>
    </row>
    <row r="1366" spans="1:12" x14ac:dyDescent="0.25">
      <c r="C1366"/>
      <c r="I1366" s="568"/>
      <c r="J1366"/>
    </row>
    <row r="1367" spans="1:12" x14ac:dyDescent="0.25">
      <c r="A1367" s="272" t="s">
        <v>32</v>
      </c>
      <c r="B1367" s="272"/>
      <c r="C1367" s="272"/>
      <c r="D1367" s="298" t="str">
        <f>'Appendix J-2'!B74</f>
        <v>Assistance</v>
      </c>
      <c r="E1367" s="292" t="str">
        <f>'Appendix J-2'!C74</f>
        <v>1 day</v>
      </c>
      <c r="F1367" s="690"/>
      <c r="G1367" s="690"/>
      <c r="H1367" s="690"/>
      <c r="I1367" s="687" t="s">
        <v>1116</v>
      </c>
      <c r="J1367" s="205"/>
    </row>
    <row r="1368" spans="1:12" x14ac:dyDescent="0.25">
      <c r="A1368" s="147" t="s">
        <v>26</v>
      </c>
      <c r="B1368" s="147" t="s">
        <v>27</v>
      </c>
      <c r="C1368" s="51" t="s">
        <v>166</v>
      </c>
      <c r="D1368" s="91" t="s">
        <v>154</v>
      </c>
      <c r="E1368" s="89" t="s">
        <v>155</v>
      </c>
      <c r="F1368" s="34" t="s">
        <v>158</v>
      </c>
      <c r="G1368" s="35" t="s">
        <v>156</v>
      </c>
      <c r="H1368" s="51" t="s">
        <v>157</v>
      </c>
      <c r="I1368" s="688"/>
      <c r="J1368" s="205"/>
    </row>
    <row r="1369" spans="1:12" x14ac:dyDescent="0.25">
      <c r="A1369" s="21">
        <f>A$5</f>
        <v>1182</v>
      </c>
      <c r="B1369" s="148"/>
      <c r="C1369" s="144">
        <v>1</v>
      </c>
      <c r="D1369" s="210">
        <f>'linked - DO NOT USE or DELETE'!D436</f>
        <v>0</v>
      </c>
      <c r="E1369" s="22">
        <f>IF(F1369=0,0,F1369/D1369)</f>
        <v>0</v>
      </c>
      <c r="F1369" s="210">
        <f>'linked - DO NOT USE or DELETE'!F436</f>
        <v>0</v>
      </c>
      <c r="G1369" s="25" t="e">
        <f t="shared" ref="G1369:G1377" si="807">H1369/F1369</f>
        <v>#DIV/0!</v>
      </c>
      <c r="H1369" s="211">
        <f>'linked - DO NOT USE or DELETE'!H436</f>
        <v>0</v>
      </c>
      <c r="I1369" s="688"/>
      <c r="J1369" s="205"/>
    </row>
    <row r="1370" spans="1:12" x14ac:dyDescent="0.25">
      <c r="A1370" s="21">
        <f>A$6</f>
        <v>1288</v>
      </c>
      <c r="B1370" s="149">
        <f>(A1370-A1369)/A1369</f>
        <v>8.9678510998307953E-2</v>
      </c>
      <c r="C1370" s="52">
        <v>2</v>
      </c>
      <c r="D1370" s="210">
        <f>'linked - DO NOT USE or DELETE'!I436</f>
        <v>0</v>
      </c>
      <c r="E1370" s="22">
        <f t="shared" ref="E1370:E1377" si="808">IF(F1370=0,0,F1370/D1370)</f>
        <v>0</v>
      </c>
      <c r="F1370" s="210">
        <f>'linked - DO NOT USE or DELETE'!K436</f>
        <v>0</v>
      </c>
      <c r="G1370" s="25" t="e">
        <f t="shared" si="807"/>
        <v>#DIV/0!</v>
      </c>
      <c r="H1370" s="211">
        <f>'linked - DO NOT USE or DELETE'!M436</f>
        <v>0</v>
      </c>
      <c r="I1370" s="688"/>
      <c r="J1370" s="205"/>
    </row>
    <row r="1371" spans="1:12" x14ac:dyDescent="0.25">
      <c r="A1371" s="21">
        <f>A$7</f>
        <v>1495</v>
      </c>
      <c r="B1371" s="149">
        <f t="shared" ref="B1371:B1383" si="809">(A1371-A1370)/A1370</f>
        <v>0.16071428571428573</v>
      </c>
      <c r="C1371" s="52">
        <v>3</v>
      </c>
      <c r="D1371" s="210">
        <f>'linked - DO NOT USE or DELETE'!N436</f>
        <v>0</v>
      </c>
      <c r="E1371" s="22">
        <f t="shared" si="808"/>
        <v>0</v>
      </c>
      <c r="F1371" s="210">
        <f>'linked - DO NOT USE or DELETE'!P436</f>
        <v>0</v>
      </c>
      <c r="G1371" s="25" t="e">
        <f t="shared" si="807"/>
        <v>#DIV/0!</v>
      </c>
      <c r="H1371" s="33">
        <f>'linked - DO NOT USE or DELETE'!R436</f>
        <v>0</v>
      </c>
      <c r="I1371" s="688"/>
      <c r="J1371" s="205"/>
    </row>
    <row r="1372" spans="1:12" x14ac:dyDescent="0.25">
      <c r="A1372" s="21">
        <f>A$8</f>
        <v>1484</v>
      </c>
      <c r="B1372" s="149">
        <f t="shared" si="809"/>
        <v>-7.3578595317725752E-3</v>
      </c>
      <c r="C1372" s="52">
        <f t="shared" ref="C1372:C1383" si="810">C1371+1</f>
        <v>4</v>
      </c>
      <c r="D1372" s="247">
        <f>'Appendix J-2'!S74</f>
        <v>0</v>
      </c>
      <c r="E1372" s="22">
        <f t="shared" si="808"/>
        <v>0</v>
      </c>
      <c r="F1372" s="247">
        <f>'Appendix J-2'!U74</f>
        <v>0</v>
      </c>
      <c r="G1372" s="25" t="e">
        <f t="shared" si="807"/>
        <v>#DIV/0!</v>
      </c>
      <c r="H1372" s="248">
        <f>'Appendix J-2'!W74</f>
        <v>0</v>
      </c>
      <c r="I1372" s="688"/>
      <c r="J1372" s="205"/>
    </row>
    <row r="1373" spans="1:12" x14ac:dyDescent="0.25">
      <c r="A1373" s="21">
        <f>A$9</f>
        <v>1528</v>
      </c>
      <c r="B1373" s="149">
        <f t="shared" si="809"/>
        <v>2.9649595687331536E-2</v>
      </c>
      <c r="C1373" s="52">
        <f t="shared" si="810"/>
        <v>5</v>
      </c>
      <c r="D1373" s="249">
        <f>'Appendix J-2'!X74</f>
        <v>0</v>
      </c>
      <c r="E1373" s="22">
        <f t="shared" si="808"/>
        <v>0</v>
      </c>
      <c r="F1373" s="249">
        <f>'Appendix J-2'!Z74</f>
        <v>0</v>
      </c>
      <c r="G1373" s="25" t="e">
        <f t="shared" si="807"/>
        <v>#DIV/0!</v>
      </c>
      <c r="H1373" s="248">
        <f>'Appendix J-2'!AB74</f>
        <v>0</v>
      </c>
      <c r="I1373" s="688"/>
      <c r="J1373" s="205"/>
    </row>
    <row r="1374" spans="1:12" x14ac:dyDescent="0.25">
      <c r="A1374" s="21">
        <f>A$10</f>
        <v>1592</v>
      </c>
      <c r="B1374" s="149">
        <f t="shared" si="809"/>
        <v>4.1884816753926704E-2</v>
      </c>
      <c r="C1374" s="52">
        <f t="shared" si="810"/>
        <v>6</v>
      </c>
      <c r="D1374" s="249">
        <f>'Appendix J-2'!AC74</f>
        <v>0</v>
      </c>
      <c r="E1374" s="22">
        <f t="shared" si="808"/>
        <v>0</v>
      </c>
      <c r="F1374" s="249">
        <f>'Appendix J-2'!AE74</f>
        <v>0</v>
      </c>
      <c r="G1374" s="25" t="e">
        <f t="shared" si="807"/>
        <v>#DIV/0!</v>
      </c>
      <c r="H1374" s="248">
        <f>'Appendix J-2'!AG74</f>
        <v>0</v>
      </c>
      <c r="I1374" s="688"/>
      <c r="J1374" s="205"/>
    </row>
    <row r="1375" spans="1:12" x14ac:dyDescent="0.25">
      <c r="A1375" s="21">
        <f>A$11</f>
        <v>1642</v>
      </c>
      <c r="B1375" s="149">
        <f t="shared" si="809"/>
        <v>3.1407035175879394E-2</v>
      </c>
      <c r="C1375" s="20">
        <f t="shared" si="810"/>
        <v>7</v>
      </c>
      <c r="D1375" s="249">
        <f>'Appendix J-2'!AH74</f>
        <v>1</v>
      </c>
      <c r="E1375" s="22">
        <f t="shared" si="808"/>
        <v>43</v>
      </c>
      <c r="F1375" s="249">
        <f>'Appendix J-2'!AJ74</f>
        <v>43</v>
      </c>
      <c r="G1375" s="25">
        <f t="shared" si="807"/>
        <v>359.40000000000003</v>
      </c>
      <c r="H1375" s="248">
        <f>'Appendix J-2'!AL74</f>
        <v>15454.2</v>
      </c>
      <c r="I1375" s="688"/>
      <c r="J1375" s="205"/>
    </row>
    <row r="1376" spans="1:12" x14ac:dyDescent="0.25">
      <c r="A1376" s="21">
        <f>A$12</f>
        <v>1675</v>
      </c>
      <c r="B1376" s="149">
        <f t="shared" si="809"/>
        <v>2.0097442143727162E-2</v>
      </c>
      <c r="C1376" s="20">
        <f t="shared" si="810"/>
        <v>8</v>
      </c>
      <c r="D1376" s="249">
        <f>'Appendix J-2'!AM74</f>
        <v>2</v>
      </c>
      <c r="E1376" s="22">
        <f t="shared" si="808"/>
        <v>63.5</v>
      </c>
      <c r="F1376" s="249">
        <f>'Appendix J-2'!AO74</f>
        <v>127</v>
      </c>
      <c r="G1376" s="25">
        <f t="shared" si="807"/>
        <v>359.40000000000003</v>
      </c>
      <c r="H1376" s="248">
        <f>'Appendix J-2'!AQ74</f>
        <v>45643.8</v>
      </c>
      <c r="I1376" s="688"/>
      <c r="J1376" s="205"/>
    </row>
    <row r="1377" spans="1:12" x14ac:dyDescent="0.25">
      <c r="A1377" s="21">
        <f>A$13</f>
        <v>1739</v>
      </c>
      <c r="B1377" s="149">
        <f t="shared" si="809"/>
        <v>3.8208955223880597E-2</v>
      </c>
      <c r="C1377" s="20">
        <f t="shared" si="810"/>
        <v>9</v>
      </c>
      <c r="D1377" s="249">
        <f>'Appendix J-2'!AR74</f>
        <v>3</v>
      </c>
      <c r="E1377" s="22">
        <f t="shared" si="808"/>
        <v>4</v>
      </c>
      <c r="F1377" s="249">
        <f>'Appendix J-2'!AT74</f>
        <v>12</v>
      </c>
      <c r="G1377" s="25">
        <f t="shared" si="807"/>
        <v>418.47</v>
      </c>
      <c r="H1377" s="248">
        <f>'Appendix J-2'!AV74</f>
        <v>5021.6400000000003</v>
      </c>
      <c r="I1377" s="688"/>
      <c r="J1377" s="205"/>
    </row>
    <row r="1378" spans="1:12" x14ac:dyDescent="0.25">
      <c r="A1378" s="21">
        <f>A$14</f>
        <v>1752</v>
      </c>
      <c r="B1378" s="149">
        <f t="shared" si="809"/>
        <v>7.4755606670500289E-3</v>
      </c>
      <c r="C1378" s="20">
        <f t="shared" si="810"/>
        <v>10</v>
      </c>
      <c r="D1378" s="21">
        <f>AO830</f>
        <v>2</v>
      </c>
      <c r="E1378" s="22">
        <f>TREND($E$1375:$E$1376,$C$1375:$C$1376,C1378)</f>
        <v>104.5</v>
      </c>
      <c r="F1378" s="21">
        <f>D1378*E1378</f>
        <v>209</v>
      </c>
      <c r="G1378" s="24">
        <f>'DDS Rates for Amend'!BP17</f>
        <v>421.49</v>
      </c>
      <c r="H1378" s="33">
        <f t="shared" ref="H1378" si="811">F1378*G1378</f>
        <v>88091.41</v>
      </c>
      <c r="I1378" s="688"/>
      <c r="J1378" s="205"/>
    </row>
    <row r="1379" spans="1:12" x14ac:dyDescent="0.25">
      <c r="A1379" s="21">
        <f>A$15</f>
        <v>1822</v>
      </c>
      <c r="B1379" s="149">
        <f t="shared" si="809"/>
        <v>3.9954337899543377E-2</v>
      </c>
      <c r="C1379" s="20">
        <f t="shared" si="810"/>
        <v>11</v>
      </c>
      <c r="D1379" s="21">
        <f>AR830</f>
        <v>2</v>
      </c>
      <c r="E1379" s="22">
        <f t="shared" ref="E1379:E1383" si="812">TREND($E$1375:$E$1376,$C$1375:$C$1376,C1379)</f>
        <v>125</v>
      </c>
      <c r="F1379" s="21">
        <f t="shared" ref="F1379:F1383" si="813">D1379*E1379</f>
        <v>250</v>
      </c>
      <c r="G1379" s="24">
        <f>'DDS Rates for Amend'!BP18</f>
        <v>432.44873999999999</v>
      </c>
      <c r="H1379" s="33">
        <f t="shared" ref="H1379:H1383" si="814">F1379*G1379</f>
        <v>108112.185</v>
      </c>
      <c r="I1379" s="688"/>
      <c r="J1379" s="205"/>
    </row>
    <row r="1380" spans="1:12" x14ac:dyDescent="0.25">
      <c r="A1380" s="21">
        <f>A$16</f>
        <v>1872</v>
      </c>
      <c r="B1380" s="149">
        <f t="shared" si="809"/>
        <v>2.7442371020856202E-2</v>
      </c>
      <c r="C1380" s="20">
        <f t="shared" si="810"/>
        <v>12</v>
      </c>
      <c r="D1380" s="21">
        <f>AU830</f>
        <v>2</v>
      </c>
      <c r="E1380" s="22">
        <f t="shared" si="812"/>
        <v>145.49999999999997</v>
      </c>
      <c r="F1380" s="21">
        <f t="shared" si="813"/>
        <v>290.99999999999994</v>
      </c>
      <c r="G1380" s="24">
        <f>'DDS Rates for Amend'!BP19</f>
        <v>443.69240723999997</v>
      </c>
      <c r="H1380" s="33">
        <f t="shared" si="814"/>
        <v>129114.49050683997</v>
      </c>
      <c r="I1380" s="688"/>
      <c r="J1380" s="205"/>
    </row>
    <row r="1381" spans="1:12" x14ac:dyDescent="0.25">
      <c r="A1381" s="21">
        <f>A$17</f>
        <v>1902</v>
      </c>
      <c r="B1381" s="149">
        <f t="shared" si="809"/>
        <v>1.6025641025641024E-2</v>
      </c>
      <c r="C1381" s="20">
        <f t="shared" si="810"/>
        <v>13</v>
      </c>
      <c r="D1381" s="21">
        <f>AX830</f>
        <v>2</v>
      </c>
      <c r="E1381" s="22">
        <f t="shared" si="812"/>
        <v>165.99999999999997</v>
      </c>
      <c r="F1381" s="21">
        <f t="shared" si="813"/>
        <v>331.99999999999994</v>
      </c>
      <c r="G1381" s="24">
        <f>'DDS Rates for Amend'!BP20</f>
        <v>455.22840982823999</v>
      </c>
      <c r="H1381" s="33">
        <f t="shared" si="814"/>
        <v>151135.83206297565</v>
      </c>
      <c r="I1381" s="688"/>
      <c r="J1381" s="205"/>
    </row>
    <row r="1382" spans="1:12" x14ac:dyDescent="0.25">
      <c r="A1382" s="21">
        <f>A$18</f>
        <v>1932</v>
      </c>
      <c r="B1382" s="149">
        <f t="shared" si="809"/>
        <v>1.5772870662460567E-2</v>
      </c>
      <c r="C1382" s="20">
        <f t="shared" si="810"/>
        <v>14</v>
      </c>
      <c r="D1382" s="21">
        <f>BA830</f>
        <v>2</v>
      </c>
      <c r="E1382" s="22">
        <f t="shared" si="812"/>
        <v>186.49999999999997</v>
      </c>
      <c r="F1382" s="21">
        <f t="shared" si="813"/>
        <v>372.99999999999994</v>
      </c>
      <c r="G1382" s="24">
        <f>'DDS Rates for Amend'!BP21</f>
        <v>467.06434848377421</v>
      </c>
      <c r="H1382" s="33">
        <f t="shared" si="814"/>
        <v>174215.00198444776</v>
      </c>
      <c r="I1382" s="688"/>
      <c r="J1382" s="205"/>
    </row>
    <row r="1383" spans="1:12" x14ac:dyDescent="0.25">
      <c r="A1383" s="21">
        <f>A$19</f>
        <v>1962</v>
      </c>
      <c r="B1383" s="149">
        <f t="shared" si="809"/>
        <v>1.5527950310559006E-2</v>
      </c>
      <c r="C1383" s="20">
        <f t="shared" si="810"/>
        <v>15</v>
      </c>
      <c r="D1383" s="21">
        <f>BD830</f>
        <v>2</v>
      </c>
      <c r="E1383" s="22">
        <f t="shared" si="812"/>
        <v>206.99999999999997</v>
      </c>
      <c r="F1383" s="21">
        <f t="shared" si="813"/>
        <v>413.99999999999994</v>
      </c>
      <c r="G1383" s="24">
        <f>'DDS Rates for Amend'!BP22</f>
        <v>479.20802154435233</v>
      </c>
      <c r="H1383" s="33">
        <f t="shared" si="814"/>
        <v>198392.12091936183</v>
      </c>
      <c r="I1383" s="689"/>
      <c r="J1383" s="205"/>
      <c r="K1383" s="285">
        <f>SUM(H1369:H1383)</f>
        <v>915180.68047362508</v>
      </c>
      <c r="L1383" s="17">
        <f>IF(K1383='Appendix J-2'!CD74,0,error)</f>
        <v>0</v>
      </c>
    </row>
    <row r="1384" spans="1:12" x14ac:dyDescent="0.25">
      <c r="C1384"/>
      <c r="I1384" s="568"/>
      <c r="J1384"/>
    </row>
    <row r="1385" spans="1:12" ht="15" customHeight="1" x14ac:dyDescent="0.25">
      <c r="A1385" s="272" t="s">
        <v>33</v>
      </c>
      <c r="B1385" s="272"/>
      <c r="C1385" s="272"/>
      <c r="D1385" s="298" t="str">
        <f>'Appendix J-2'!B75</f>
        <v>Assistance</v>
      </c>
      <c r="E1385" s="292" t="str">
        <f>'Appendix J-2'!C75</f>
        <v>1 day</v>
      </c>
      <c r="F1385" s="690"/>
      <c r="G1385" s="690"/>
      <c r="H1385" s="690"/>
      <c r="I1385" s="687" t="s">
        <v>1115</v>
      </c>
      <c r="J1385" s="205"/>
    </row>
    <row r="1386" spans="1:12" x14ac:dyDescent="0.25">
      <c r="A1386" s="147" t="s">
        <v>26</v>
      </c>
      <c r="B1386" s="147" t="s">
        <v>27</v>
      </c>
      <c r="C1386" s="51" t="s">
        <v>166</v>
      </c>
      <c r="D1386" s="91" t="s">
        <v>154</v>
      </c>
      <c r="E1386" s="89" t="s">
        <v>155</v>
      </c>
      <c r="F1386" s="34" t="s">
        <v>158</v>
      </c>
      <c r="G1386" s="35" t="s">
        <v>156</v>
      </c>
      <c r="H1386" s="51" t="s">
        <v>157</v>
      </c>
      <c r="I1386" s="688"/>
      <c r="J1386" s="205"/>
    </row>
    <row r="1387" spans="1:12" x14ac:dyDescent="0.25">
      <c r="A1387" s="21">
        <f>A$5</f>
        <v>1182</v>
      </c>
      <c r="B1387" s="148"/>
      <c r="C1387" s="144">
        <v>1</v>
      </c>
      <c r="D1387" s="210">
        <f>'linked - DO NOT USE or DELETE'!D437</f>
        <v>0</v>
      </c>
      <c r="E1387" s="22">
        <f>IF(F1387=0,0,F1387/D1387)</f>
        <v>0</v>
      </c>
      <c r="F1387" s="210">
        <f>'linked - DO NOT USE or DELETE'!F437</f>
        <v>0</v>
      </c>
      <c r="G1387" s="25" t="e">
        <f t="shared" ref="G1387:G1395" si="815">H1387/F1387</f>
        <v>#DIV/0!</v>
      </c>
      <c r="H1387" s="211">
        <f>'linked - DO NOT USE or DELETE'!H437</f>
        <v>0</v>
      </c>
      <c r="I1387" s="688"/>
      <c r="J1387" s="205"/>
    </row>
    <row r="1388" spans="1:12" x14ac:dyDescent="0.25">
      <c r="A1388" s="21">
        <f>A$6</f>
        <v>1288</v>
      </c>
      <c r="B1388" s="149">
        <f>(A1388-A1387)/A1387</f>
        <v>8.9678510998307953E-2</v>
      </c>
      <c r="C1388" s="52">
        <v>2</v>
      </c>
      <c r="D1388" s="210">
        <f>'linked - DO NOT USE or DELETE'!I437</f>
        <v>0</v>
      </c>
      <c r="E1388" s="22">
        <f t="shared" ref="E1388:E1395" si="816">IF(F1388=0,0,F1388/D1388)</f>
        <v>0</v>
      </c>
      <c r="F1388" s="210">
        <f>'linked - DO NOT USE or DELETE'!K437</f>
        <v>0</v>
      </c>
      <c r="G1388" s="25" t="e">
        <f t="shared" si="815"/>
        <v>#DIV/0!</v>
      </c>
      <c r="H1388" s="211">
        <f>'linked - DO NOT USE or DELETE'!M437</f>
        <v>0</v>
      </c>
      <c r="I1388" s="688"/>
      <c r="J1388" s="205"/>
    </row>
    <row r="1389" spans="1:12" x14ac:dyDescent="0.25">
      <c r="A1389" s="21">
        <f>A$7</f>
        <v>1495</v>
      </c>
      <c r="B1389" s="149">
        <f t="shared" ref="B1389:B1401" si="817">(A1389-A1388)/A1388</f>
        <v>0.16071428571428573</v>
      </c>
      <c r="C1389" s="52">
        <v>3</v>
      </c>
      <c r="D1389" s="210">
        <f>'linked - DO NOT USE or DELETE'!N437</f>
        <v>0</v>
      </c>
      <c r="E1389" s="22">
        <f t="shared" si="816"/>
        <v>0</v>
      </c>
      <c r="F1389" s="210">
        <f>'linked - DO NOT USE or DELETE'!P437</f>
        <v>0</v>
      </c>
      <c r="G1389" s="25" t="e">
        <f t="shared" si="815"/>
        <v>#DIV/0!</v>
      </c>
      <c r="H1389" s="33">
        <f>'linked - DO NOT USE or DELETE'!R437</f>
        <v>0</v>
      </c>
      <c r="I1389" s="688"/>
      <c r="J1389" s="205"/>
    </row>
    <row r="1390" spans="1:12" x14ac:dyDescent="0.25">
      <c r="A1390" s="21">
        <f>A$8</f>
        <v>1484</v>
      </c>
      <c r="B1390" s="149">
        <f t="shared" si="817"/>
        <v>-7.3578595317725752E-3</v>
      </c>
      <c r="C1390" s="52">
        <f t="shared" ref="C1390:C1401" si="818">C1389+1</f>
        <v>4</v>
      </c>
      <c r="D1390" s="247">
        <f>'Appendix J-2'!S75</f>
        <v>0</v>
      </c>
      <c r="E1390" s="22">
        <f t="shared" si="816"/>
        <v>0</v>
      </c>
      <c r="F1390" s="247">
        <f>'Appendix J-2'!U75</f>
        <v>0</v>
      </c>
      <c r="G1390" s="25" t="e">
        <f t="shared" si="815"/>
        <v>#DIV/0!</v>
      </c>
      <c r="H1390" s="248">
        <f>'Appendix J-2'!W75</f>
        <v>0</v>
      </c>
      <c r="I1390" s="688"/>
      <c r="J1390" s="205"/>
    </row>
    <row r="1391" spans="1:12" x14ac:dyDescent="0.25">
      <c r="A1391" s="21">
        <f>A$9</f>
        <v>1528</v>
      </c>
      <c r="B1391" s="149">
        <f t="shared" si="817"/>
        <v>2.9649595687331536E-2</v>
      </c>
      <c r="C1391" s="52">
        <f t="shared" si="818"/>
        <v>5</v>
      </c>
      <c r="D1391" s="249">
        <f>'Appendix J-2'!X75</f>
        <v>0</v>
      </c>
      <c r="E1391" s="22">
        <f t="shared" si="816"/>
        <v>0</v>
      </c>
      <c r="F1391" s="249">
        <f>'Appendix J-2'!Z75</f>
        <v>0</v>
      </c>
      <c r="G1391" s="25" t="e">
        <f t="shared" si="815"/>
        <v>#DIV/0!</v>
      </c>
      <c r="H1391" s="248">
        <f>'Appendix J-2'!AB75</f>
        <v>0</v>
      </c>
      <c r="I1391" s="688"/>
      <c r="J1391" s="205"/>
    </row>
    <row r="1392" spans="1:12" x14ac:dyDescent="0.25">
      <c r="A1392" s="21">
        <f>A$10</f>
        <v>1592</v>
      </c>
      <c r="B1392" s="149">
        <f t="shared" si="817"/>
        <v>4.1884816753926704E-2</v>
      </c>
      <c r="C1392" s="20">
        <f t="shared" si="818"/>
        <v>6</v>
      </c>
      <c r="D1392" s="249">
        <f>'Appendix J-2'!AC75</f>
        <v>0</v>
      </c>
      <c r="E1392" s="22">
        <f t="shared" si="816"/>
        <v>0</v>
      </c>
      <c r="F1392" s="249">
        <f>'Appendix J-2'!AE75</f>
        <v>0</v>
      </c>
      <c r="G1392" s="25" t="e">
        <f t="shared" si="815"/>
        <v>#DIV/0!</v>
      </c>
      <c r="H1392" s="248">
        <f>'Appendix J-2'!AG75</f>
        <v>0</v>
      </c>
      <c r="I1392" s="688"/>
      <c r="J1392" s="205"/>
    </row>
    <row r="1393" spans="1:12" x14ac:dyDescent="0.25">
      <c r="A1393" s="21">
        <f>A$11</f>
        <v>1642</v>
      </c>
      <c r="B1393" s="149">
        <f t="shared" si="817"/>
        <v>3.1407035175879394E-2</v>
      </c>
      <c r="C1393" s="20">
        <f t="shared" si="818"/>
        <v>7</v>
      </c>
      <c r="D1393" s="249">
        <f>'Appendix J-2'!AH75</f>
        <v>6</v>
      </c>
      <c r="E1393" s="22">
        <f t="shared" si="816"/>
        <v>156.66666666666666</v>
      </c>
      <c r="F1393" s="249">
        <f>'Appendix J-2'!AJ75</f>
        <v>940</v>
      </c>
      <c r="G1393" s="25">
        <f t="shared" si="815"/>
        <v>375.35258510638295</v>
      </c>
      <c r="H1393" s="248">
        <f>'Appendix J-2'!AL75</f>
        <v>352831.43</v>
      </c>
      <c r="I1393" s="688"/>
      <c r="J1393" s="205"/>
    </row>
    <row r="1394" spans="1:12" x14ac:dyDescent="0.25">
      <c r="A1394" s="21">
        <f>A$12</f>
        <v>1675</v>
      </c>
      <c r="B1394" s="149">
        <f t="shared" si="817"/>
        <v>2.0097442143727162E-2</v>
      </c>
      <c r="C1394" s="20">
        <f t="shared" si="818"/>
        <v>8</v>
      </c>
      <c r="D1394" s="249">
        <f>'Appendix J-2'!AM75</f>
        <v>8</v>
      </c>
      <c r="E1394" s="22">
        <f t="shared" si="816"/>
        <v>309.75</v>
      </c>
      <c r="F1394" s="249">
        <f>'Appendix J-2'!AO75</f>
        <v>2478</v>
      </c>
      <c r="G1394" s="25">
        <f t="shared" si="815"/>
        <v>395.85361178369652</v>
      </c>
      <c r="H1394" s="248">
        <f>'Appendix J-2'!AQ75</f>
        <v>980925.25</v>
      </c>
      <c r="I1394" s="688"/>
      <c r="J1394" s="205"/>
    </row>
    <row r="1395" spans="1:12" x14ac:dyDescent="0.25">
      <c r="A1395" s="21">
        <f>A$13</f>
        <v>1739</v>
      </c>
      <c r="B1395" s="149">
        <f t="shared" si="817"/>
        <v>3.8208955223880597E-2</v>
      </c>
      <c r="C1395" s="20">
        <f t="shared" si="818"/>
        <v>9</v>
      </c>
      <c r="D1395" s="249">
        <f>'Appendix J-2'!AR75</f>
        <v>19</v>
      </c>
      <c r="E1395" s="22">
        <f t="shared" si="816"/>
        <v>185.05263157894737</v>
      </c>
      <c r="F1395" s="249">
        <f>'Appendix J-2'!AT75</f>
        <v>3516</v>
      </c>
      <c r="G1395" s="25">
        <f t="shared" si="815"/>
        <v>426.41523321956765</v>
      </c>
      <c r="H1395" s="248">
        <f>'Appendix J-2'!AV75</f>
        <v>1499275.96</v>
      </c>
      <c r="I1395" s="688"/>
      <c r="J1395" s="205"/>
    </row>
    <row r="1396" spans="1:12" x14ac:dyDescent="0.25">
      <c r="A1396" s="21">
        <f>A$14</f>
        <v>1752</v>
      </c>
      <c r="B1396" s="149">
        <f t="shared" si="817"/>
        <v>7.4755606670500289E-3</v>
      </c>
      <c r="C1396" s="20">
        <f t="shared" si="818"/>
        <v>10</v>
      </c>
      <c r="D1396" s="21">
        <f>AO831</f>
        <v>13</v>
      </c>
      <c r="E1396" s="22">
        <f>IF(TREND($E$1393:$E$1395,$C$1393:$C$1395,C1396)&lt;365,TREND($E$1393:$E$1395,$C$1393:$C$1395,C1396),365)</f>
        <v>245.54239766081872</v>
      </c>
      <c r="F1396" s="21">
        <f>D1396*E1396</f>
        <v>3192.0511695906434</v>
      </c>
      <c r="G1396" s="24">
        <f>'DDS Rates for Amend'!BQ17</f>
        <v>460.96</v>
      </c>
      <c r="H1396" s="33">
        <f t="shared" ref="H1396" si="819">F1396*G1396</f>
        <v>1471407.9071345029</v>
      </c>
      <c r="I1396" s="688"/>
      <c r="J1396" s="205"/>
    </row>
    <row r="1397" spans="1:12" x14ac:dyDescent="0.25">
      <c r="A1397" s="21">
        <f>A$15</f>
        <v>1822</v>
      </c>
      <c r="B1397" s="149">
        <f t="shared" si="817"/>
        <v>3.9954337899543377E-2</v>
      </c>
      <c r="C1397" s="20">
        <f t="shared" si="818"/>
        <v>11</v>
      </c>
      <c r="D1397" s="21">
        <f>AR831</f>
        <v>14</v>
      </c>
      <c r="E1397" s="22">
        <f t="shared" ref="E1397:E1401" si="820">IF(TREND($E$1393:$E$1395,$C$1393:$C$1395,C1397)&lt;365,TREND($E$1393:$E$1395,$C$1393:$C$1395,C1397),365)</f>
        <v>259.73538011695911</v>
      </c>
      <c r="F1397" s="21">
        <f t="shared" ref="F1397:F1401" si="821">D1397*E1397</f>
        <v>3636.2953216374276</v>
      </c>
      <c r="G1397" s="24">
        <f>'DDS Rates for Amend'!BQ18</f>
        <v>472.94495999999998</v>
      </c>
      <c r="H1397" s="33">
        <f t="shared" ref="H1397:H1401" si="822">F1397*G1397</f>
        <v>1719767.5454400002</v>
      </c>
      <c r="I1397" s="688"/>
      <c r="J1397" s="205"/>
    </row>
    <row r="1398" spans="1:12" x14ac:dyDescent="0.25">
      <c r="A1398" s="21">
        <f>A$16</f>
        <v>1872</v>
      </c>
      <c r="B1398" s="149">
        <f t="shared" si="817"/>
        <v>2.7442371020856202E-2</v>
      </c>
      <c r="C1398" s="20">
        <f t="shared" si="818"/>
        <v>12</v>
      </c>
      <c r="D1398" s="21">
        <f>AU831</f>
        <v>14</v>
      </c>
      <c r="E1398" s="22">
        <f t="shared" si="820"/>
        <v>273.92836257309943</v>
      </c>
      <c r="F1398" s="21">
        <f t="shared" si="821"/>
        <v>3834.9970760233919</v>
      </c>
      <c r="G1398" s="24">
        <f>'DDS Rates for Amend'!BQ19</f>
        <v>485.24152895999998</v>
      </c>
      <c r="H1398" s="33">
        <f t="shared" si="822"/>
        <v>1860899.8447267199</v>
      </c>
      <c r="I1398" s="688"/>
      <c r="J1398" s="205"/>
    </row>
    <row r="1399" spans="1:12" x14ac:dyDescent="0.25">
      <c r="A1399" s="21">
        <f>A$17</f>
        <v>1902</v>
      </c>
      <c r="B1399" s="149">
        <f t="shared" si="817"/>
        <v>1.6025641025641024E-2</v>
      </c>
      <c r="C1399" s="20">
        <f t="shared" si="818"/>
        <v>13</v>
      </c>
      <c r="D1399" s="21">
        <f>AX831</f>
        <v>14</v>
      </c>
      <c r="E1399" s="22">
        <f t="shared" si="820"/>
        <v>288.12134502923982</v>
      </c>
      <c r="F1399" s="21">
        <f t="shared" si="821"/>
        <v>4033.6988304093575</v>
      </c>
      <c r="G1399" s="24">
        <f>'DDS Rates for Amend'!BQ20</f>
        <v>497.85780871295998</v>
      </c>
      <c r="H1399" s="33">
        <f t="shared" si="822"/>
        <v>2008208.4607156322</v>
      </c>
      <c r="I1399" s="688"/>
      <c r="J1399" s="205"/>
    </row>
    <row r="1400" spans="1:12" x14ac:dyDescent="0.25">
      <c r="A1400" s="21">
        <f>A$18</f>
        <v>1932</v>
      </c>
      <c r="B1400" s="149">
        <f t="shared" si="817"/>
        <v>1.5772870662460567E-2</v>
      </c>
      <c r="C1400" s="20">
        <f t="shared" si="818"/>
        <v>14</v>
      </c>
      <c r="D1400" s="21">
        <f>BA831</f>
        <v>15</v>
      </c>
      <c r="E1400" s="22">
        <f t="shared" si="820"/>
        <v>302.3143274853802</v>
      </c>
      <c r="F1400" s="21">
        <f t="shared" si="821"/>
        <v>4534.7149122807032</v>
      </c>
      <c r="G1400" s="24">
        <f>'DDS Rates for Amend'!BQ21</f>
        <v>510.80211173949692</v>
      </c>
      <c r="H1400" s="33">
        <f t="shared" si="822"/>
        <v>2316341.9533295706</v>
      </c>
      <c r="I1400" s="688"/>
      <c r="J1400" s="205"/>
    </row>
    <row r="1401" spans="1:12" x14ac:dyDescent="0.25">
      <c r="A1401" s="21">
        <f>A$19</f>
        <v>1962</v>
      </c>
      <c r="B1401" s="149">
        <f t="shared" si="817"/>
        <v>1.5527950310559006E-2</v>
      </c>
      <c r="C1401" s="20">
        <f t="shared" si="818"/>
        <v>15</v>
      </c>
      <c r="D1401" s="21">
        <f>BD831</f>
        <v>15</v>
      </c>
      <c r="E1401" s="22">
        <f t="shared" si="820"/>
        <v>316.50730994152053</v>
      </c>
      <c r="F1401" s="21">
        <f t="shared" si="821"/>
        <v>4747.6096491228082</v>
      </c>
      <c r="G1401" s="24">
        <f>'DDS Rates for Amend'!BQ22</f>
        <v>524.0829666447238</v>
      </c>
      <c r="H1401" s="33">
        <f t="shared" si="822"/>
        <v>2488141.3493833975</v>
      </c>
      <c r="I1401" s="689"/>
      <c r="J1401" s="205"/>
      <c r="K1401" s="285">
        <f>SUM(H1387:H1401)</f>
        <v>14697799.700729823</v>
      </c>
      <c r="L1401" s="17">
        <f>IF(K1401='Appendix J-2'!CD75,0,error)</f>
        <v>0</v>
      </c>
    </row>
    <row r="1402" spans="1:12" x14ac:dyDescent="0.25">
      <c r="C1402"/>
      <c r="I1402" s="568"/>
      <c r="J1402"/>
    </row>
    <row r="1403" spans="1:12" ht="15" customHeight="1" x14ac:dyDescent="0.25">
      <c r="A1403" s="272" t="s">
        <v>34</v>
      </c>
      <c r="B1403" s="272"/>
      <c r="C1403" s="272"/>
      <c r="D1403" s="298" t="str">
        <f>'Appendix J-2'!B76</f>
        <v>Assistance</v>
      </c>
      <c r="E1403" s="292" t="str">
        <f>'Appendix J-2'!C76</f>
        <v>1 day</v>
      </c>
      <c r="F1403" s="690"/>
      <c r="G1403" s="690"/>
      <c r="H1403" s="690"/>
      <c r="I1403" s="687" t="s">
        <v>1117</v>
      </c>
      <c r="J1403" s="205"/>
    </row>
    <row r="1404" spans="1:12" x14ac:dyDescent="0.25">
      <c r="A1404" s="147" t="s">
        <v>26</v>
      </c>
      <c r="B1404" s="147" t="s">
        <v>27</v>
      </c>
      <c r="C1404" s="51" t="s">
        <v>166</v>
      </c>
      <c r="D1404" s="91" t="s">
        <v>154</v>
      </c>
      <c r="E1404" s="89" t="s">
        <v>155</v>
      </c>
      <c r="F1404" s="34" t="s">
        <v>158</v>
      </c>
      <c r="G1404" s="35" t="s">
        <v>156</v>
      </c>
      <c r="H1404" s="51" t="s">
        <v>157</v>
      </c>
      <c r="I1404" s="688"/>
      <c r="J1404" s="205"/>
    </row>
    <row r="1405" spans="1:12" x14ac:dyDescent="0.25">
      <c r="A1405" s="21">
        <f>A$5</f>
        <v>1182</v>
      </c>
      <c r="B1405" s="148"/>
      <c r="C1405" s="144">
        <v>1</v>
      </c>
      <c r="D1405" s="210">
        <f>'linked - DO NOT USE or DELETE'!D438</f>
        <v>0</v>
      </c>
      <c r="E1405" s="22">
        <f t="shared" ref="E1405:E1413" si="823">IF(F1405=0,0,F1405/D1405)</f>
        <v>0</v>
      </c>
      <c r="F1405" s="210">
        <f>'linked - DO NOT USE or DELETE'!F438</f>
        <v>0</v>
      </c>
      <c r="G1405" s="25" t="e">
        <f t="shared" ref="G1405:G1413" si="824">H1405/F1405</f>
        <v>#DIV/0!</v>
      </c>
      <c r="H1405" s="211">
        <f>'linked - DO NOT USE or DELETE'!H438</f>
        <v>0</v>
      </c>
      <c r="I1405" s="688"/>
      <c r="J1405" s="205"/>
    </row>
    <row r="1406" spans="1:12" x14ac:dyDescent="0.25">
      <c r="A1406" s="21">
        <f>A$6</f>
        <v>1288</v>
      </c>
      <c r="B1406" s="149">
        <f>(A1406-A1405)/A1405</f>
        <v>8.9678510998307953E-2</v>
      </c>
      <c r="C1406" s="52">
        <v>2</v>
      </c>
      <c r="D1406" s="210">
        <f>'linked - DO NOT USE or DELETE'!I438</f>
        <v>0</v>
      </c>
      <c r="E1406" s="22">
        <f t="shared" si="823"/>
        <v>0</v>
      </c>
      <c r="F1406" s="210">
        <f>'linked - DO NOT USE or DELETE'!K438</f>
        <v>0</v>
      </c>
      <c r="G1406" s="25" t="e">
        <f t="shared" si="824"/>
        <v>#DIV/0!</v>
      </c>
      <c r="H1406" s="211">
        <f>'linked - DO NOT USE or DELETE'!M438</f>
        <v>0</v>
      </c>
      <c r="I1406" s="688"/>
      <c r="J1406" s="205"/>
    </row>
    <row r="1407" spans="1:12" x14ac:dyDescent="0.25">
      <c r="A1407" s="21">
        <f>A$7</f>
        <v>1495</v>
      </c>
      <c r="B1407" s="149">
        <f t="shared" ref="B1407:B1419" si="825">(A1407-A1406)/A1406</f>
        <v>0.16071428571428573</v>
      </c>
      <c r="C1407" s="52">
        <v>3</v>
      </c>
      <c r="D1407" s="210">
        <f>'linked - DO NOT USE or DELETE'!N438</f>
        <v>0</v>
      </c>
      <c r="E1407" s="22">
        <f t="shared" si="823"/>
        <v>0</v>
      </c>
      <c r="F1407" s="210">
        <f>'linked - DO NOT USE or DELETE'!P438</f>
        <v>0</v>
      </c>
      <c r="G1407" s="25" t="e">
        <f t="shared" si="824"/>
        <v>#DIV/0!</v>
      </c>
      <c r="H1407" s="33">
        <f>'linked - DO NOT USE or DELETE'!R438</f>
        <v>0</v>
      </c>
      <c r="I1407" s="688"/>
      <c r="J1407" s="205"/>
    </row>
    <row r="1408" spans="1:12" x14ac:dyDescent="0.25">
      <c r="A1408" s="21">
        <f>A$8</f>
        <v>1484</v>
      </c>
      <c r="B1408" s="149">
        <f t="shared" si="825"/>
        <v>-7.3578595317725752E-3</v>
      </c>
      <c r="C1408" s="52">
        <f t="shared" ref="C1408:C1419" si="826">C1407+1</f>
        <v>4</v>
      </c>
      <c r="D1408" s="247">
        <f>'Appendix J-2'!S76</f>
        <v>0</v>
      </c>
      <c r="E1408" s="22">
        <f t="shared" si="823"/>
        <v>0</v>
      </c>
      <c r="F1408" s="247">
        <f>'Appendix J-2'!U76</f>
        <v>0</v>
      </c>
      <c r="G1408" s="25" t="e">
        <f t="shared" si="824"/>
        <v>#DIV/0!</v>
      </c>
      <c r="H1408" s="248">
        <f>'Appendix J-2'!W76</f>
        <v>0</v>
      </c>
      <c r="I1408" s="688"/>
      <c r="J1408" s="205"/>
    </row>
    <row r="1409" spans="1:12" x14ac:dyDescent="0.25">
      <c r="A1409" s="21">
        <f>A$9</f>
        <v>1528</v>
      </c>
      <c r="B1409" s="149">
        <f t="shared" si="825"/>
        <v>2.9649595687331536E-2</v>
      </c>
      <c r="C1409" s="52">
        <f t="shared" si="826"/>
        <v>5</v>
      </c>
      <c r="D1409" s="249">
        <f>'Appendix J-2'!X76</f>
        <v>0</v>
      </c>
      <c r="E1409" s="22">
        <f t="shared" si="823"/>
        <v>0</v>
      </c>
      <c r="F1409" s="249">
        <f>'Appendix J-2'!Z76</f>
        <v>0</v>
      </c>
      <c r="G1409" s="25" t="e">
        <f t="shared" si="824"/>
        <v>#DIV/0!</v>
      </c>
      <c r="H1409" s="248">
        <f>'Appendix J-2'!AB76</f>
        <v>0</v>
      </c>
      <c r="I1409" s="688"/>
      <c r="J1409" s="205"/>
    </row>
    <row r="1410" spans="1:12" x14ac:dyDescent="0.25">
      <c r="A1410" s="21">
        <f>A$10</f>
        <v>1592</v>
      </c>
      <c r="B1410" s="149">
        <f t="shared" si="825"/>
        <v>4.1884816753926704E-2</v>
      </c>
      <c r="C1410" s="52">
        <f t="shared" si="826"/>
        <v>6</v>
      </c>
      <c r="D1410" s="249">
        <f>'Appendix J-2'!AC76</f>
        <v>0</v>
      </c>
      <c r="E1410" s="22">
        <f t="shared" si="823"/>
        <v>0</v>
      </c>
      <c r="F1410" s="249">
        <f>'Appendix J-2'!AE76</f>
        <v>0</v>
      </c>
      <c r="G1410" s="25" t="e">
        <f t="shared" si="824"/>
        <v>#DIV/0!</v>
      </c>
      <c r="H1410" s="248">
        <f>'Appendix J-2'!AG76</f>
        <v>0</v>
      </c>
      <c r="I1410" s="688"/>
      <c r="J1410" s="205"/>
    </row>
    <row r="1411" spans="1:12" x14ac:dyDescent="0.25">
      <c r="A1411" s="21">
        <f>A$11</f>
        <v>1642</v>
      </c>
      <c r="B1411" s="149">
        <f t="shared" si="825"/>
        <v>3.1407035175879394E-2</v>
      </c>
      <c r="C1411" s="52">
        <f t="shared" si="826"/>
        <v>7</v>
      </c>
      <c r="D1411" s="249">
        <f>'Appendix J-2'!AH76</f>
        <v>31</v>
      </c>
      <c r="E1411" s="22">
        <f t="shared" si="823"/>
        <v>109.70967741935483</v>
      </c>
      <c r="F1411" s="249">
        <f>'Appendix J-2'!AJ76</f>
        <v>3401</v>
      </c>
      <c r="G1411" s="25">
        <f t="shared" si="824"/>
        <v>436.70399882387534</v>
      </c>
      <c r="H1411" s="248">
        <f>'Appendix J-2'!AL76</f>
        <v>1485230.3</v>
      </c>
      <c r="I1411" s="688"/>
      <c r="J1411" s="205"/>
    </row>
    <row r="1412" spans="1:12" x14ac:dyDescent="0.25">
      <c r="A1412" s="21">
        <f>A$12</f>
        <v>1675</v>
      </c>
      <c r="B1412" s="149">
        <f t="shared" si="825"/>
        <v>2.0097442143727162E-2</v>
      </c>
      <c r="C1412" s="20">
        <f t="shared" si="826"/>
        <v>8</v>
      </c>
      <c r="D1412" s="249">
        <f>'Appendix J-2'!AM76</f>
        <v>42</v>
      </c>
      <c r="E1412" s="22">
        <f t="shared" si="823"/>
        <v>284.6904761904762</v>
      </c>
      <c r="F1412" s="249">
        <f>'Appendix J-2'!AO76</f>
        <v>11957</v>
      </c>
      <c r="G1412" s="25">
        <f t="shared" si="824"/>
        <v>455.03562850213262</v>
      </c>
      <c r="H1412" s="248">
        <f>'Appendix J-2'!AQ76</f>
        <v>5440861.0099999998</v>
      </c>
      <c r="I1412" s="688"/>
      <c r="J1412" s="205"/>
    </row>
    <row r="1413" spans="1:12" x14ac:dyDescent="0.25">
      <c r="A1413" s="21">
        <f>A$13</f>
        <v>1739</v>
      </c>
      <c r="B1413" s="149">
        <f t="shared" si="825"/>
        <v>3.8208955223880597E-2</v>
      </c>
      <c r="C1413" s="20">
        <f t="shared" si="826"/>
        <v>9</v>
      </c>
      <c r="D1413" s="249">
        <f>'Appendix J-2'!AR76</f>
        <v>55</v>
      </c>
      <c r="E1413" s="22">
        <f t="shared" si="823"/>
        <v>273.12727272727273</v>
      </c>
      <c r="F1413" s="249">
        <f>'Appendix J-2'!AT76</f>
        <v>15022</v>
      </c>
      <c r="G1413" s="25">
        <f t="shared" si="824"/>
        <v>482.74791505791512</v>
      </c>
      <c r="H1413" s="248">
        <f>'Appendix J-2'!AV76</f>
        <v>7251839.1800000006</v>
      </c>
      <c r="I1413" s="688"/>
      <c r="J1413" s="205"/>
    </row>
    <row r="1414" spans="1:12" x14ac:dyDescent="0.25">
      <c r="A1414" s="21">
        <f>A$14</f>
        <v>1752</v>
      </c>
      <c r="B1414" s="149">
        <f t="shared" si="825"/>
        <v>7.4755606670500289E-3</v>
      </c>
      <c r="C1414" s="20">
        <f t="shared" si="826"/>
        <v>10</v>
      </c>
      <c r="D1414" s="21">
        <f>AO832</f>
        <v>39</v>
      </c>
      <c r="E1414" s="22">
        <f>E928</f>
        <v>258.22822366175762</v>
      </c>
      <c r="F1414" s="21">
        <f>D1414*E1414</f>
        <v>10070.900722808547</v>
      </c>
      <c r="G1414" s="24">
        <f>'DDS Rates for Amend'!BR17</f>
        <v>510.61</v>
      </c>
      <c r="H1414" s="33">
        <f t="shared" ref="H1414" si="827">F1414*G1414</f>
        <v>5142302.6180732725</v>
      </c>
      <c r="I1414" s="688"/>
      <c r="J1414" s="205"/>
    </row>
    <row r="1415" spans="1:12" x14ac:dyDescent="0.25">
      <c r="A1415" s="21">
        <f>A$15</f>
        <v>1822</v>
      </c>
      <c r="B1415" s="149">
        <f t="shared" si="825"/>
        <v>3.9954337899543377E-2</v>
      </c>
      <c r="C1415" s="20">
        <f t="shared" si="826"/>
        <v>11</v>
      </c>
      <c r="D1415" s="21">
        <f>AR832</f>
        <v>40</v>
      </c>
      <c r="E1415" s="22">
        <f t="shared" ref="E1415:E1419" si="828">E929</f>
        <v>272.24198650569372</v>
      </c>
      <c r="F1415" s="21">
        <f t="shared" ref="F1415:F1419" si="829">D1415*E1415</f>
        <v>10889.679460227748</v>
      </c>
      <c r="G1415" s="24">
        <f>'DDS Rates for Amend'!BR18</f>
        <v>523.88585999999998</v>
      </c>
      <c r="H1415" s="33">
        <f t="shared" ref="H1415:H1419" si="830">F1415*G1415</f>
        <v>5704949.0891457489</v>
      </c>
      <c r="I1415" s="688"/>
      <c r="J1415" s="205"/>
    </row>
    <row r="1416" spans="1:12" x14ac:dyDescent="0.25">
      <c r="A1416" s="21">
        <f>A$16</f>
        <v>1872</v>
      </c>
      <c r="B1416" s="149">
        <f t="shared" si="825"/>
        <v>2.7442371020856202E-2</v>
      </c>
      <c r="C1416" s="20">
        <f t="shared" si="826"/>
        <v>12</v>
      </c>
      <c r="D1416" s="21">
        <f>AU832</f>
        <v>41</v>
      </c>
      <c r="E1416" s="22">
        <f t="shared" si="828"/>
        <v>286.25574934962992</v>
      </c>
      <c r="F1416" s="21">
        <f t="shared" si="829"/>
        <v>11736.485723334827</v>
      </c>
      <c r="G1416" s="24">
        <f>'DDS Rates for Amend'!BR19</f>
        <v>537.50689235999994</v>
      </c>
      <c r="H1416" s="33">
        <f t="shared" si="830"/>
        <v>6308441.9683772083</v>
      </c>
      <c r="I1416" s="688"/>
      <c r="J1416" s="205"/>
    </row>
    <row r="1417" spans="1:12" x14ac:dyDescent="0.25">
      <c r="A1417" s="21">
        <f>A$17</f>
        <v>1902</v>
      </c>
      <c r="B1417" s="149">
        <f t="shared" si="825"/>
        <v>1.6025641025641024E-2</v>
      </c>
      <c r="C1417" s="20">
        <f t="shared" si="826"/>
        <v>13</v>
      </c>
      <c r="D1417" s="21">
        <f>AX832</f>
        <v>42</v>
      </c>
      <c r="E1417" s="22">
        <f t="shared" si="828"/>
        <v>300.26951219356602</v>
      </c>
      <c r="F1417" s="21">
        <f t="shared" si="829"/>
        <v>12611.319512129772</v>
      </c>
      <c r="G1417" s="24">
        <f>'DDS Rates for Amend'!BR20</f>
        <v>551.48207156135993</v>
      </c>
      <c r="H1417" s="33">
        <f t="shared" si="830"/>
        <v>6954916.6096715257</v>
      </c>
      <c r="I1417" s="688"/>
      <c r="J1417" s="205"/>
    </row>
    <row r="1418" spans="1:12" x14ac:dyDescent="0.25">
      <c r="A1418" s="21">
        <f>A$18</f>
        <v>1932</v>
      </c>
      <c r="B1418" s="149">
        <f t="shared" si="825"/>
        <v>1.5772870662460567E-2</v>
      </c>
      <c r="C1418" s="20">
        <f t="shared" si="826"/>
        <v>14</v>
      </c>
      <c r="D1418" s="21">
        <f>BA832</f>
        <v>42</v>
      </c>
      <c r="E1418" s="22">
        <f t="shared" si="828"/>
        <v>314.28327503750216</v>
      </c>
      <c r="F1418" s="21">
        <f t="shared" si="829"/>
        <v>13199.897551575092</v>
      </c>
      <c r="G1418" s="24">
        <f>'DDS Rates for Amend'!BR21</f>
        <v>565.82060542195529</v>
      </c>
      <c r="H1418" s="33">
        <f t="shared" si="830"/>
        <v>7468774.0241400041</v>
      </c>
      <c r="I1418" s="688"/>
      <c r="J1418" s="205"/>
    </row>
    <row r="1419" spans="1:12" x14ac:dyDescent="0.25">
      <c r="A1419" s="21">
        <f>A$19</f>
        <v>1962</v>
      </c>
      <c r="B1419" s="149">
        <f t="shared" si="825"/>
        <v>1.5527950310559006E-2</v>
      </c>
      <c r="C1419" s="20">
        <f t="shared" si="826"/>
        <v>15</v>
      </c>
      <c r="D1419" s="21">
        <f>BD832</f>
        <v>43</v>
      </c>
      <c r="E1419" s="22">
        <f t="shared" si="828"/>
        <v>328.29703788143831</v>
      </c>
      <c r="F1419" s="21">
        <f t="shared" si="829"/>
        <v>14116.772628901848</v>
      </c>
      <c r="G1419" s="24">
        <f>'DDS Rates for Amend'!BR22</f>
        <v>580.53194116292616</v>
      </c>
      <c r="H1419" s="33">
        <f t="shared" si="830"/>
        <v>8195237.4172120541</v>
      </c>
      <c r="I1419" s="689"/>
      <c r="J1419" s="205"/>
      <c r="K1419" s="285">
        <f>SUM(H1405:H1419)</f>
        <v>53952552.216619819</v>
      </c>
      <c r="L1419" s="17">
        <f>IF(K1419='Appendix J-2'!CD76,0,error)</f>
        <v>0</v>
      </c>
    </row>
    <row r="1420" spans="1:12" x14ac:dyDescent="0.25">
      <c r="C1420"/>
      <c r="I1420" s="568"/>
      <c r="J1420"/>
    </row>
    <row r="1421" spans="1:12" ht="15" customHeight="1" x14ac:dyDescent="0.25">
      <c r="A1421" s="272" t="s">
        <v>35</v>
      </c>
      <c r="B1421" s="272"/>
      <c r="C1421" s="272"/>
      <c r="D1421" s="298" t="str">
        <f>'Appendix J-2'!B78</f>
        <v>Assistance</v>
      </c>
      <c r="E1421" s="292" t="str">
        <f>'Appendix J-2'!C78</f>
        <v>1 day</v>
      </c>
      <c r="F1421" s="690"/>
      <c r="G1421" s="690"/>
      <c r="H1421" s="690"/>
      <c r="I1421" s="687" t="s">
        <v>1109</v>
      </c>
      <c r="J1421" s="205"/>
    </row>
    <row r="1422" spans="1:12" x14ac:dyDescent="0.25">
      <c r="A1422" s="147" t="s">
        <v>26</v>
      </c>
      <c r="B1422" s="147" t="s">
        <v>27</v>
      </c>
      <c r="C1422" s="146" t="s">
        <v>166</v>
      </c>
      <c r="D1422" s="91" t="s">
        <v>154</v>
      </c>
      <c r="E1422" s="89" t="s">
        <v>155</v>
      </c>
      <c r="F1422" s="34" t="s">
        <v>158</v>
      </c>
      <c r="G1422" s="35" t="s">
        <v>156</v>
      </c>
      <c r="H1422" s="51" t="s">
        <v>157</v>
      </c>
      <c r="I1422" s="688"/>
      <c r="J1422" s="205"/>
    </row>
    <row r="1423" spans="1:12" x14ac:dyDescent="0.25">
      <c r="A1423" s="21">
        <f>A$5</f>
        <v>1182</v>
      </c>
      <c r="B1423" s="148"/>
      <c r="C1423" s="144">
        <v>1</v>
      </c>
      <c r="D1423" s="210">
        <f>'linked - DO NOT USE or DELETE'!D439</f>
        <v>0</v>
      </c>
      <c r="E1423" s="22">
        <f t="shared" ref="E1423:E1431" si="831">IF(F1423=0,0,F1423/D1423)</f>
        <v>0</v>
      </c>
      <c r="F1423" s="210">
        <f>'linked - DO NOT USE or DELETE'!F439</f>
        <v>0</v>
      </c>
      <c r="G1423" s="25" t="e">
        <f t="shared" ref="G1423:G1431" si="832">H1423/F1423</f>
        <v>#DIV/0!</v>
      </c>
      <c r="H1423" s="211">
        <f>'linked - DO NOT USE or DELETE'!H439</f>
        <v>0</v>
      </c>
      <c r="I1423" s="688"/>
      <c r="J1423" s="205"/>
    </row>
    <row r="1424" spans="1:12" x14ac:dyDescent="0.25">
      <c r="A1424" s="21">
        <f>A$6</f>
        <v>1288</v>
      </c>
      <c r="B1424" s="149">
        <f>(A1424-A1423)/A1423</f>
        <v>8.9678510998307953E-2</v>
      </c>
      <c r="C1424" s="52">
        <v>2</v>
      </c>
      <c r="D1424" s="210">
        <f>'linked - DO NOT USE or DELETE'!I439</f>
        <v>0</v>
      </c>
      <c r="E1424" s="22">
        <f t="shared" si="831"/>
        <v>0</v>
      </c>
      <c r="F1424" s="210">
        <f>'linked - DO NOT USE or DELETE'!K439</f>
        <v>0</v>
      </c>
      <c r="G1424" s="25" t="e">
        <f t="shared" si="832"/>
        <v>#DIV/0!</v>
      </c>
      <c r="H1424" s="211">
        <f>'linked - DO NOT USE or DELETE'!M439</f>
        <v>0</v>
      </c>
      <c r="I1424" s="688"/>
      <c r="J1424" s="205"/>
    </row>
    <row r="1425" spans="1:12" x14ac:dyDescent="0.25">
      <c r="A1425" s="21">
        <f>A$7</f>
        <v>1495</v>
      </c>
      <c r="B1425" s="149">
        <f t="shared" ref="B1425:B1437" si="833">(A1425-A1424)/A1424</f>
        <v>0.16071428571428573</v>
      </c>
      <c r="C1425" s="52">
        <v>3</v>
      </c>
      <c r="D1425" s="210">
        <f>'linked - DO NOT USE or DELETE'!N439</f>
        <v>0</v>
      </c>
      <c r="E1425" s="22">
        <f t="shared" si="831"/>
        <v>0</v>
      </c>
      <c r="F1425" s="210">
        <f>'linked - DO NOT USE or DELETE'!P439</f>
        <v>0</v>
      </c>
      <c r="G1425" s="25" t="e">
        <f t="shared" si="832"/>
        <v>#DIV/0!</v>
      </c>
      <c r="H1425" s="33">
        <f>'linked - DO NOT USE or DELETE'!R439</f>
        <v>0</v>
      </c>
      <c r="I1425" s="688"/>
      <c r="J1425" s="205"/>
    </row>
    <row r="1426" spans="1:12" x14ac:dyDescent="0.25">
      <c r="A1426" s="21">
        <f>A$8</f>
        <v>1484</v>
      </c>
      <c r="B1426" s="149">
        <f t="shared" si="833"/>
        <v>-7.3578595317725752E-3</v>
      </c>
      <c r="C1426" s="52">
        <f t="shared" ref="C1426:C1437" si="834">C1425+1</f>
        <v>4</v>
      </c>
      <c r="D1426" s="247">
        <f>'Appendix J-2'!S78</f>
        <v>0</v>
      </c>
      <c r="E1426" s="22">
        <f t="shared" si="831"/>
        <v>0</v>
      </c>
      <c r="F1426" s="247">
        <f>'Appendix J-2'!U78</f>
        <v>0</v>
      </c>
      <c r="G1426" s="25" t="e">
        <f t="shared" si="832"/>
        <v>#DIV/0!</v>
      </c>
      <c r="H1426" s="248">
        <f>'Appendix J-2'!W78</f>
        <v>0</v>
      </c>
      <c r="I1426" s="688"/>
      <c r="J1426" s="205"/>
    </row>
    <row r="1427" spans="1:12" x14ac:dyDescent="0.25">
      <c r="A1427" s="21">
        <f>A$9</f>
        <v>1528</v>
      </c>
      <c r="B1427" s="149">
        <f t="shared" si="833"/>
        <v>2.9649595687331536E-2</v>
      </c>
      <c r="C1427" s="52">
        <f t="shared" si="834"/>
        <v>5</v>
      </c>
      <c r="D1427" s="249">
        <f>'Appendix J-2'!X78</f>
        <v>0</v>
      </c>
      <c r="E1427" s="22">
        <f t="shared" si="831"/>
        <v>0</v>
      </c>
      <c r="F1427" s="249">
        <f>'Appendix J-2'!Z78</f>
        <v>0</v>
      </c>
      <c r="G1427" s="25" t="e">
        <f t="shared" si="832"/>
        <v>#DIV/0!</v>
      </c>
      <c r="H1427" s="248">
        <f>'Appendix J-2'!AB78</f>
        <v>0</v>
      </c>
      <c r="I1427" s="688"/>
      <c r="J1427" s="205"/>
    </row>
    <row r="1428" spans="1:12" x14ac:dyDescent="0.25">
      <c r="A1428" s="21">
        <f>A$10</f>
        <v>1592</v>
      </c>
      <c r="B1428" s="149">
        <f t="shared" si="833"/>
        <v>4.1884816753926704E-2</v>
      </c>
      <c r="C1428" s="20">
        <f t="shared" si="834"/>
        <v>6</v>
      </c>
      <c r="D1428" s="249">
        <f>'Appendix J-2'!AC78</f>
        <v>0</v>
      </c>
      <c r="E1428" s="22">
        <f t="shared" si="831"/>
        <v>0</v>
      </c>
      <c r="F1428" s="249">
        <f>'Appendix J-2'!AE78</f>
        <v>0</v>
      </c>
      <c r="G1428" s="25" t="e">
        <f t="shared" si="832"/>
        <v>#DIV/0!</v>
      </c>
      <c r="H1428" s="248">
        <f>'Appendix J-2'!AG78</f>
        <v>0</v>
      </c>
      <c r="I1428" s="688"/>
      <c r="J1428" s="205"/>
    </row>
    <row r="1429" spans="1:12" x14ac:dyDescent="0.25">
      <c r="A1429" s="21">
        <f>A$11</f>
        <v>1642</v>
      </c>
      <c r="B1429" s="149">
        <f t="shared" si="833"/>
        <v>3.1407035175879394E-2</v>
      </c>
      <c r="C1429" s="20">
        <f t="shared" si="834"/>
        <v>7</v>
      </c>
      <c r="D1429" s="249">
        <f>'Appendix J-2'!AH78</f>
        <v>1</v>
      </c>
      <c r="E1429" s="22">
        <f t="shared" si="831"/>
        <v>142</v>
      </c>
      <c r="F1429" s="249">
        <f>'Appendix J-2'!AJ78</f>
        <v>142</v>
      </c>
      <c r="G1429" s="25">
        <f t="shared" si="832"/>
        <v>322.38697183098589</v>
      </c>
      <c r="H1429" s="248">
        <f>'Appendix J-2'!AL78</f>
        <v>45778.95</v>
      </c>
      <c r="I1429" s="688"/>
      <c r="J1429" s="205"/>
    </row>
    <row r="1430" spans="1:12" x14ac:dyDescent="0.25">
      <c r="A1430" s="21">
        <f>A$12</f>
        <v>1675</v>
      </c>
      <c r="B1430" s="149">
        <f t="shared" si="833"/>
        <v>2.0097442143727162E-2</v>
      </c>
      <c r="C1430" s="20">
        <f t="shared" si="834"/>
        <v>8</v>
      </c>
      <c r="D1430" s="249">
        <f>'Appendix J-2'!AM78</f>
        <v>1</v>
      </c>
      <c r="E1430" s="22">
        <f t="shared" si="831"/>
        <v>208</v>
      </c>
      <c r="F1430" s="249">
        <f>'Appendix J-2'!AO78</f>
        <v>208</v>
      </c>
      <c r="G1430" s="25">
        <f t="shared" si="832"/>
        <v>320.38966346153848</v>
      </c>
      <c r="H1430" s="248">
        <f>'Appendix J-2'!AQ78</f>
        <v>66641.05</v>
      </c>
      <c r="I1430" s="688"/>
      <c r="J1430" s="205"/>
    </row>
    <row r="1431" spans="1:12" x14ac:dyDescent="0.25">
      <c r="A1431" s="21">
        <f>A$13</f>
        <v>1739</v>
      </c>
      <c r="B1431" s="149">
        <f t="shared" si="833"/>
        <v>3.8208955223880597E-2</v>
      </c>
      <c r="C1431" s="20">
        <f t="shared" si="834"/>
        <v>9</v>
      </c>
      <c r="D1431" s="249">
        <f>'Appendix J-2'!AR78</f>
        <v>2</v>
      </c>
      <c r="E1431" s="22">
        <f t="shared" si="831"/>
        <v>275</v>
      </c>
      <c r="F1431" s="249">
        <f>'Appendix J-2'!AT78</f>
        <v>550</v>
      </c>
      <c r="G1431" s="25">
        <f t="shared" si="832"/>
        <v>339.43</v>
      </c>
      <c r="H1431" s="248">
        <f>'Appendix J-2'!AV78</f>
        <v>186686.5</v>
      </c>
      <c r="I1431" s="688"/>
      <c r="J1431" s="205"/>
    </row>
    <row r="1432" spans="1:12" x14ac:dyDescent="0.25">
      <c r="A1432" s="21">
        <f>A$14</f>
        <v>1752</v>
      </c>
      <c r="B1432" s="149">
        <f t="shared" si="833"/>
        <v>7.4755606670500289E-3</v>
      </c>
      <c r="C1432" s="20">
        <f t="shared" si="834"/>
        <v>10</v>
      </c>
      <c r="D1432" s="21">
        <f>AO833</f>
        <v>1</v>
      </c>
      <c r="E1432" s="22">
        <f>IF(TREND($E$1429:$E$1431,$C$1429:$C$1431,C1432)&lt;365,TREND($E$1429:$E$1431,$C$1429:$C$1431,C1432),365)</f>
        <v>341.33333333333337</v>
      </c>
      <c r="F1432" s="21">
        <f t="shared" ref="F1432" si="835">D1432*E1432</f>
        <v>341.33333333333337</v>
      </c>
      <c r="G1432" s="24">
        <f>'DDS Rates for Amend'!BT17</f>
        <v>391.96</v>
      </c>
      <c r="H1432" s="33">
        <f t="shared" ref="H1432" si="836">F1432*G1432</f>
        <v>133789.01333333334</v>
      </c>
      <c r="I1432" s="688"/>
      <c r="J1432" s="205"/>
    </row>
    <row r="1433" spans="1:12" x14ac:dyDescent="0.25">
      <c r="A1433" s="21">
        <f>A$15</f>
        <v>1822</v>
      </c>
      <c r="B1433" s="149">
        <f t="shared" si="833"/>
        <v>3.9954337899543377E-2</v>
      </c>
      <c r="C1433" s="20">
        <f t="shared" si="834"/>
        <v>11</v>
      </c>
      <c r="D1433" s="21">
        <f>AR833</f>
        <v>1</v>
      </c>
      <c r="E1433" s="22">
        <f t="shared" ref="E1433:E1437" si="837">IF(TREND($E$1429:$E$1431,$C$1429:$C$1431,C1433)&lt;365,TREND($E$1429:$E$1431,$C$1429:$C$1431,C1433),365)</f>
        <v>365</v>
      </c>
      <c r="F1433" s="21">
        <f t="shared" ref="F1433:F1437" si="838">D1433*E1433</f>
        <v>365</v>
      </c>
      <c r="G1433" s="24">
        <f>'DDS Rates for Amend'!BT18</f>
        <v>402.15096</v>
      </c>
      <c r="H1433" s="33">
        <f t="shared" ref="H1433:H1437" si="839">F1433*G1433</f>
        <v>146785.1004</v>
      </c>
      <c r="I1433" s="688"/>
      <c r="J1433" s="205"/>
    </row>
    <row r="1434" spans="1:12" x14ac:dyDescent="0.25">
      <c r="A1434" s="21">
        <f>A$16</f>
        <v>1872</v>
      </c>
      <c r="B1434" s="149">
        <f t="shared" si="833"/>
        <v>2.7442371020856202E-2</v>
      </c>
      <c r="C1434" s="20">
        <f t="shared" si="834"/>
        <v>12</v>
      </c>
      <c r="D1434" s="21">
        <f>AU833</f>
        <v>1</v>
      </c>
      <c r="E1434" s="22">
        <f t="shared" si="837"/>
        <v>365</v>
      </c>
      <c r="F1434" s="21">
        <f t="shared" si="838"/>
        <v>365</v>
      </c>
      <c r="G1434" s="24">
        <f>'DDS Rates for Amend'!BT19</f>
        <v>412.60688496</v>
      </c>
      <c r="H1434" s="33">
        <f t="shared" si="839"/>
        <v>150601.5130104</v>
      </c>
      <c r="I1434" s="688"/>
      <c r="J1434" s="205"/>
    </row>
    <row r="1435" spans="1:12" x14ac:dyDescent="0.25">
      <c r="A1435" s="21">
        <f>A$17</f>
        <v>1902</v>
      </c>
      <c r="B1435" s="149">
        <f t="shared" si="833"/>
        <v>1.6025641025641024E-2</v>
      </c>
      <c r="C1435" s="20">
        <f t="shared" si="834"/>
        <v>13</v>
      </c>
      <c r="D1435" s="21">
        <f>AX833</f>
        <v>2</v>
      </c>
      <c r="E1435" s="22">
        <f t="shared" si="837"/>
        <v>365</v>
      </c>
      <c r="F1435" s="21">
        <f t="shared" si="838"/>
        <v>730</v>
      </c>
      <c r="G1435" s="24">
        <f>'DDS Rates for Amend'!BT20</f>
        <v>423.33466396896</v>
      </c>
      <c r="H1435" s="33">
        <f t="shared" si="839"/>
        <v>309034.30469734082</v>
      </c>
      <c r="I1435" s="688"/>
      <c r="J1435" s="205"/>
    </row>
    <row r="1436" spans="1:12" x14ac:dyDescent="0.25">
      <c r="A1436" s="21">
        <f>A$18</f>
        <v>1932</v>
      </c>
      <c r="B1436" s="149">
        <f t="shared" si="833"/>
        <v>1.5772870662460567E-2</v>
      </c>
      <c r="C1436" s="20">
        <f t="shared" si="834"/>
        <v>14</v>
      </c>
      <c r="D1436" s="21">
        <f>BA833</f>
        <v>2</v>
      </c>
      <c r="E1436" s="22">
        <f t="shared" si="837"/>
        <v>365</v>
      </c>
      <c r="F1436" s="21">
        <f t="shared" si="838"/>
        <v>730</v>
      </c>
      <c r="G1436" s="24">
        <f>'DDS Rates for Amend'!BT21</f>
        <v>434.34136523215295</v>
      </c>
      <c r="H1436" s="33">
        <f t="shared" si="839"/>
        <v>317069.19661947165</v>
      </c>
      <c r="I1436" s="688"/>
      <c r="J1436" s="205"/>
    </row>
    <row r="1437" spans="1:12" x14ac:dyDescent="0.25">
      <c r="A1437" s="21">
        <f>A$19</f>
        <v>1962</v>
      </c>
      <c r="B1437" s="149">
        <f t="shared" si="833"/>
        <v>1.5527950310559006E-2</v>
      </c>
      <c r="C1437" s="20">
        <f t="shared" si="834"/>
        <v>15</v>
      </c>
      <c r="D1437" s="21">
        <f>BD833</f>
        <v>2</v>
      </c>
      <c r="E1437" s="22">
        <f t="shared" si="837"/>
        <v>365</v>
      </c>
      <c r="F1437" s="21">
        <f t="shared" si="838"/>
        <v>730</v>
      </c>
      <c r="G1437" s="24">
        <f>'DDS Rates for Amend'!BT22</f>
        <v>445.63424072818896</v>
      </c>
      <c r="H1437" s="33">
        <f t="shared" si="839"/>
        <v>325312.99573157792</v>
      </c>
      <c r="I1437" s="689"/>
      <c r="J1437" s="205"/>
      <c r="K1437" s="285">
        <f>SUM(H1423:H1437)</f>
        <v>1681698.6237921237</v>
      </c>
      <c r="L1437" s="17">
        <f>IF(K1437='Appendix J-2'!CD78,0,error)</f>
        <v>0</v>
      </c>
    </row>
    <row r="1438" spans="1:12" x14ac:dyDescent="0.25">
      <c r="C1438"/>
      <c r="I1438" s="568"/>
      <c r="J1438"/>
    </row>
    <row r="1439" spans="1:12" ht="15" customHeight="1" x14ac:dyDescent="0.25">
      <c r="A1439" s="272" t="s">
        <v>36</v>
      </c>
      <c r="B1439" s="272"/>
      <c r="C1439" s="272"/>
      <c r="D1439" s="298" t="str">
        <f>'Appendix J-2'!B79</f>
        <v>Assistance</v>
      </c>
      <c r="E1439" s="292" t="str">
        <f>'Appendix J-2'!C79</f>
        <v>1 day</v>
      </c>
      <c r="F1439" s="690"/>
      <c r="G1439" s="690"/>
      <c r="H1439" s="690"/>
      <c r="I1439" s="687" t="s">
        <v>1118</v>
      </c>
      <c r="J1439" s="205"/>
    </row>
    <row r="1440" spans="1:12" x14ac:dyDescent="0.25">
      <c r="A1440" s="147" t="s">
        <v>26</v>
      </c>
      <c r="B1440" s="147" t="s">
        <v>27</v>
      </c>
      <c r="C1440" s="51" t="s">
        <v>166</v>
      </c>
      <c r="D1440" s="91" t="s">
        <v>154</v>
      </c>
      <c r="E1440" s="89" t="s">
        <v>155</v>
      </c>
      <c r="F1440" s="34" t="s">
        <v>158</v>
      </c>
      <c r="G1440" s="35" t="s">
        <v>156</v>
      </c>
      <c r="H1440" s="51" t="s">
        <v>157</v>
      </c>
      <c r="I1440" s="688"/>
      <c r="J1440" s="205"/>
    </row>
    <row r="1441" spans="1:12" x14ac:dyDescent="0.25">
      <c r="A1441" s="21">
        <f>A$5</f>
        <v>1182</v>
      </c>
      <c r="B1441" s="148"/>
      <c r="C1441" s="144">
        <v>1</v>
      </c>
      <c r="D1441" s="210">
        <f>'linked - DO NOT USE or DELETE'!D440</f>
        <v>0</v>
      </c>
      <c r="E1441" s="22">
        <f t="shared" ref="E1441:E1449" si="840">IF(F1441=0,0,F1441/D1441)</f>
        <v>0</v>
      </c>
      <c r="F1441" s="210">
        <f>'linked - DO NOT USE or DELETE'!F440</f>
        <v>0</v>
      </c>
      <c r="G1441" s="25" t="e">
        <f t="shared" ref="G1441:G1449" si="841">H1441/F1441</f>
        <v>#DIV/0!</v>
      </c>
      <c r="H1441" s="211">
        <f>'linked - DO NOT USE or DELETE'!H440</f>
        <v>0</v>
      </c>
      <c r="I1441" s="688"/>
      <c r="J1441" s="205"/>
    </row>
    <row r="1442" spans="1:12" x14ac:dyDescent="0.25">
      <c r="A1442" s="21">
        <f>A$6</f>
        <v>1288</v>
      </c>
      <c r="B1442" s="149">
        <f>(A1442-A1441)/A1441</f>
        <v>8.9678510998307953E-2</v>
      </c>
      <c r="C1442" s="52">
        <v>2</v>
      </c>
      <c r="D1442" s="210">
        <f>'linked - DO NOT USE or DELETE'!I440</f>
        <v>0</v>
      </c>
      <c r="E1442" s="22">
        <f t="shared" si="840"/>
        <v>0</v>
      </c>
      <c r="F1442" s="210">
        <f>'linked - DO NOT USE or DELETE'!K440</f>
        <v>0</v>
      </c>
      <c r="G1442" s="25" t="e">
        <f t="shared" si="841"/>
        <v>#DIV/0!</v>
      </c>
      <c r="H1442" s="211">
        <f>'linked - DO NOT USE or DELETE'!M440</f>
        <v>0</v>
      </c>
      <c r="I1442" s="688"/>
      <c r="J1442" s="205"/>
    </row>
    <row r="1443" spans="1:12" x14ac:dyDescent="0.25">
      <c r="A1443" s="21">
        <f>A$7</f>
        <v>1495</v>
      </c>
      <c r="B1443" s="149">
        <f t="shared" ref="B1443:B1455" si="842">(A1443-A1442)/A1442</f>
        <v>0.16071428571428573</v>
      </c>
      <c r="C1443" s="52">
        <v>3</v>
      </c>
      <c r="D1443" s="210">
        <f>'linked - DO NOT USE or DELETE'!N440</f>
        <v>0</v>
      </c>
      <c r="E1443" s="22">
        <f t="shared" si="840"/>
        <v>0</v>
      </c>
      <c r="F1443" s="210">
        <f>'linked - DO NOT USE or DELETE'!P440</f>
        <v>0</v>
      </c>
      <c r="G1443" s="25" t="e">
        <f t="shared" si="841"/>
        <v>#DIV/0!</v>
      </c>
      <c r="H1443" s="33">
        <f>'linked - DO NOT USE or DELETE'!R440</f>
        <v>0</v>
      </c>
      <c r="I1443" s="688"/>
      <c r="J1443" s="205"/>
    </row>
    <row r="1444" spans="1:12" x14ac:dyDescent="0.25">
      <c r="A1444" s="21">
        <f>A$8</f>
        <v>1484</v>
      </c>
      <c r="B1444" s="149">
        <f t="shared" si="842"/>
        <v>-7.3578595317725752E-3</v>
      </c>
      <c r="C1444" s="52">
        <f t="shared" ref="C1444:C1455" si="843">C1443+1</f>
        <v>4</v>
      </c>
      <c r="D1444" s="247">
        <f>'Appendix J-2'!S79</f>
        <v>0</v>
      </c>
      <c r="E1444" s="22">
        <f t="shared" si="840"/>
        <v>0</v>
      </c>
      <c r="F1444" s="247">
        <f>'Appendix J-2'!U79</f>
        <v>0</v>
      </c>
      <c r="G1444" s="25" t="e">
        <f t="shared" si="841"/>
        <v>#DIV/0!</v>
      </c>
      <c r="H1444" s="248">
        <f>'Appendix J-2'!W79</f>
        <v>0</v>
      </c>
      <c r="I1444" s="688"/>
      <c r="J1444" s="205"/>
    </row>
    <row r="1445" spans="1:12" x14ac:dyDescent="0.25">
      <c r="A1445" s="21">
        <f>A$9</f>
        <v>1528</v>
      </c>
      <c r="B1445" s="149">
        <f t="shared" si="842"/>
        <v>2.9649595687331536E-2</v>
      </c>
      <c r="C1445" s="52">
        <f t="shared" si="843"/>
        <v>5</v>
      </c>
      <c r="D1445" s="249">
        <f>'Appendix J-2'!X79</f>
        <v>0</v>
      </c>
      <c r="E1445" s="22">
        <f t="shared" si="840"/>
        <v>0</v>
      </c>
      <c r="F1445" s="249">
        <f>'Appendix J-2'!Z79</f>
        <v>0</v>
      </c>
      <c r="G1445" s="25" t="e">
        <f t="shared" si="841"/>
        <v>#DIV/0!</v>
      </c>
      <c r="H1445" s="248">
        <f>'Appendix J-2'!AB79</f>
        <v>0</v>
      </c>
      <c r="I1445" s="688"/>
      <c r="J1445" s="205"/>
    </row>
    <row r="1446" spans="1:12" x14ac:dyDescent="0.25">
      <c r="A1446" s="21">
        <f>A$10</f>
        <v>1592</v>
      </c>
      <c r="B1446" s="149">
        <f t="shared" si="842"/>
        <v>4.1884816753926704E-2</v>
      </c>
      <c r="C1446" s="52">
        <f t="shared" si="843"/>
        <v>6</v>
      </c>
      <c r="D1446" s="249">
        <f>'Appendix J-2'!AC79</f>
        <v>0</v>
      </c>
      <c r="E1446" s="22">
        <f t="shared" si="840"/>
        <v>0</v>
      </c>
      <c r="F1446" s="249">
        <f>'Appendix J-2'!AE79</f>
        <v>0</v>
      </c>
      <c r="G1446" s="25" t="e">
        <f t="shared" si="841"/>
        <v>#DIV/0!</v>
      </c>
      <c r="H1446" s="248">
        <f>'Appendix J-2'!AG79</f>
        <v>0</v>
      </c>
      <c r="I1446" s="688"/>
      <c r="J1446" s="205"/>
    </row>
    <row r="1447" spans="1:12" x14ac:dyDescent="0.25">
      <c r="A1447" s="21">
        <f>A$11</f>
        <v>1642</v>
      </c>
      <c r="B1447" s="149">
        <f t="shared" si="842"/>
        <v>3.1407035175879394E-2</v>
      </c>
      <c r="C1447" s="20">
        <f t="shared" si="843"/>
        <v>7</v>
      </c>
      <c r="D1447" s="249">
        <f>'Appendix J-2'!AH79</f>
        <v>50</v>
      </c>
      <c r="E1447" s="22">
        <f t="shared" si="840"/>
        <v>106.54</v>
      </c>
      <c r="F1447" s="249">
        <f>'Appendix J-2'!AJ79</f>
        <v>5327</v>
      </c>
      <c r="G1447" s="25">
        <f t="shared" si="841"/>
        <v>349.43700394218132</v>
      </c>
      <c r="H1447" s="248">
        <f>'Appendix J-2'!AL79</f>
        <v>1861450.92</v>
      </c>
      <c r="I1447" s="688"/>
      <c r="J1447" s="205"/>
    </row>
    <row r="1448" spans="1:12" x14ac:dyDescent="0.25">
      <c r="A1448" s="21">
        <f>A$12</f>
        <v>1675</v>
      </c>
      <c r="B1448" s="149">
        <f t="shared" si="842"/>
        <v>2.0097442143727162E-2</v>
      </c>
      <c r="C1448" s="20">
        <f t="shared" si="843"/>
        <v>8</v>
      </c>
      <c r="D1448" s="249">
        <f>'Appendix J-2'!AM79</f>
        <v>58</v>
      </c>
      <c r="E1448" s="22">
        <f t="shared" si="840"/>
        <v>279.70689655172413</v>
      </c>
      <c r="F1448" s="249">
        <f>'Appendix J-2'!AO79</f>
        <v>16223</v>
      </c>
      <c r="G1448" s="25">
        <f t="shared" si="841"/>
        <v>364.99949331196444</v>
      </c>
      <c r="H1448" s="248">
        <f>'Appendix J-2'!AQ79</f>
        <v>5921386.7799999993</v>
      </c>
      <c r="I1448" s="688"/>
      <c r="J1448" s="205"/>
    </row>
    <row r="1449" spans="1:12" x14ac:dyDescent="0.25">
      <c r="A1449" s="21">
        <f>A$13</f>
        <v>1739</v>
      </c>
      <c r="B1449" s="149">
        <f t="shared" si="842"/>
        <v>3.8208955223880597E-2</v>
      </c>
      <c r="C1449" s="20">
        <f t="shared" si="843"/>
        <v>9</v>
      </c>
      <c r="D1449" s="249">
        <f>'Appendix J-2'!AR79</f>
        <v>107</v>
      </c>
      <c r="E1449" s="22">
        <f t="shared" si="840"/>
        <v>192.32710280373831</v>
      </c>
      <c r="F1449" s="249">
        <f>'Appendix J-2'!AT79</f>
        <v>20579</v>
      </c>
      <c r="G1449" s="25">
        <f t="shared" si="841"/>
        <v>379.70612566208268</v>
      </c>
      <c r="H1449" s="248">
        <f>'Appendix J-2'!AV79</f>
        <v>7813972.3599999994</v>
      </c>
      <c r="I1449" s="688"/>
      <c r="J1449" s="205"/>
    </row>
    <row r="1450" spans="1:12" x14ac:dyDescent="0.25">
      <c r="A1450" s="21">
        <f>A$14</f>
        <v>1752</v>
      </c>
      <c r="B1450" s="149">
        <f t="shared" si="842"/>
        <v>7.4755606670500289E-3</v>
      </c>
      <c r="C1450" s="20">
        <f t="shared" si="843"/>
        <v>10</v>
      </c>
      <c r="D1450" s="21">
        <f>AN834</f>
        <v>150</v>
      </c>
      <c r="E1450" s="22">
        <f>IF(TREND($E$1447:$E$1449,$C$1447:$C$1449,C1450)&lt;365,TREND($E$1447:$E$1449,$C$1447:$C$1449,C1450),365)</f>
        <v>278.64510258889243</v>
      </c>
      <c r="F1450" s="21">
        <f>D1450*E1450</f>
        <v>41796.765388333864</v>
      </c>
      <c r="G1450" s="24">
        <f>'DDS Rates for Amend'!BU17</f>
        <v>404.8</v>
      </c>
      <c r="H1450" s="33">
        <f t="shared" ref="H1450" si="844">F1450*G1450</f>
        <v>16919330.629197549</v>
      </c>
      <c r="I1450" s="688"/>
      <c r="J1450" s="205"/>
    </row>
    <row r="1451" spans="1:12" x14ac:dyDescent="0.25">
      <c r="A1451" s="21">
        <f>A$15</f>
        <v>1822</v>
      </c>
      <c r="B1451" s="149">
        <f t="shared" si="842"/>
        <v>3.9954337899543377E-2</v>
      </c>
      <c r="C1451" s="20">
        <f t="shared" si="843"/>
        <v>11</v>
      </c>
      <c r="D1451" s="21">
        <f>AR834</f>
        <v>78</v>
      </c>
      <c r="E1451" s="22">
        <f t="shared" ref="E1451:E1455" si="845">IF(TREND($E$1447:$E$1449,$C$1447:$C$1449,C1451)&lt;365,TREND($E$1447:$E$1449,$C$1447:$C$1449,C1451),365)</f>
        <v>321.53865399076165</v>
      </c>
      <c r="F1451" s="21">
        <f t="shared" ref="F1451:F1455" si="846">D1451*E1451</f>
        <v>25080.015011279407</v>
      </c>
      <c r="G1451" s="24">
        <f>'DDS Rates for Amend'!BU18</f>
        <v>415.32479999999998</v>
      </c>
      <c r="H1451" s="33">
        <f t="shared" ref="H1451:H1455" si="847">F1451*G1451</f>
        <v>10416352.218556616</v>
      </c>
      <c r="I1451" s="688"/>
      <c r="J1451" s="205"/>
    </row>
    <row r="1452" spans="1:12" x14ac:dyDescent="0.25">
      <c r="A1452" s="21">
        <f>A$16</f>
        <v>1872</v>
      </c>
      <c r="B1452" s="149">
        <f t="shared" si="842"/>
        <v>2.7442371020856202E-2</v>
      </c>
      <c r="C1452" s="20">
        <f t="shared" si="843"/>
        <v>12</v>
      </c>
      <c r="D1452" s="21">
        <f>AU834</f>
        <v>80</v>
      </c>
      <c r="E1452" s="22">
        <f t="shared" si="845"/>
        <v>364.43220539263086</v>
      </c>
      <c r="F1452" s="21">
        <f t="shared" si="846"/>
        <v>29154.576431410467</v>
      </c>
      <c r="G1452" s="24">
        <f>'DDS Rates for Amend'!BU19</f>
        <v>426.12324479999995</v>
      </c>
      <c r="H1452" s="33">
        <f t="shared" si="847"/>
        <v>12423442.709722232</v>
      </c>
      <c r="I1452" s="688"/>
      <c r="J1452" s="205"/>
    </row>
    <row r="1453" spans="1:12" x14ac:dyDescent="0.25">
      <c r="A1453" s="21">
        <f>A$17</f>
        <v>1902</v>
      </c>
      <c r="B1453" s="149">
        <f t="shared" si="842"/>
        <v>1.6025641025641024E-2</v>
      </c>
      <c r="C1453" s="20">
        <f t="shared" si="843"/>
        <v>13</v>
      </c>
      <c r="D1453" s="21">
        <f>AX834</f>
        <v>81</v>
      </c>
      <c r="E1453" s="22">
        <f t="shared" si="845"/>
        <v>365</v>
      </c>
      <c r="F1453" s="21">
        <f t="shared" si="846"/>
        <v>29565</v>
      </c>
      <c r="G1453" s="24">
        <f>'DDS Rates for Amend'!BU20</f>
        <v>437.20244916479993</v>
      </c>
      <c r="H1453" s="33">
        <f t="shared" si="847"/>
        <v>12925890.409557309</v>
      </c>
      <c r="I1453" s="688"/>
      <c r="J1453" s="205"/>
    </row>
    <row r="1454" spans="1:12" x14ac:dyDescent="0.25">
      <c r="A1454" s="21">
        <f>A$18</f>
        <v>1932</v>
      </c>
      <c r="B1454" s="149">
        <f t="shared" si="842"/>
        <v>1.5772870662460567E-2</v>
      </c>
      <c r="C1454" s="20">
        <f t="shared" si="843"/>
        <v>14</v>
      </c>
      <c r="D1454" s="21">
        <f>BA834</f>
        <v>83</v>
      </c>
      <c r="E1454" s="22">
        <f t="shared" si="845"/>
        <v>365</v>
      </c>
      <c r="F1454" s="21">
        <f t="shared" si="846"/>
        <v>30295</v>
      </c>
      <c r="G1454" s="24">
        <f>'DDS Rates for Amend'!BU21</f>
        <v>448.56971284308474</v>
      </c>
      <c r="H1454" s="33">
        <f t="shared" si="847"/>
        <v>13589419.450581253</v>
      </c>
      <c r="I1454" s="688"/>
      <c r="J1454" s="205"/>
    </row>
    <row r="1455" spans="1:12" x14ac:dyDescent="0.25">
      <c r="A1455" s="21">
        <f>A$19</f>
        <v>1962</v>
      </c>
      <c r="B1455" s="149">
        <f t="shared" si="842"/>
        <v>1.5527950310559006E-2</v>
      </c>
      <c r="C1455" s="20">
        <f t="shared" si="843"/>
        <v>15</v>
      </c>
      <c r="D1455" s="21">
        <f>BD834</f>
        <v>84</v>
      </c>
      <c r="E1455" s="22">
        <f t="shared" si="845"/>
        <v>365</v>
      </c>
      <c r="F1455" s="21">
        <f t="shared" si="846"/>
        <v>30660</v>
      </c>
      <c r="G1455" s="24">
        <f>'DDS Rates for Amend'!BU22</f>
        <v>460.23252537700495</v>
      </c>
      <c r="H1455" s="33">
        <f t="shared" si="847"/>
        <v>14110729.228058971</v>
      </c>
      <c r="I1455" s="689"/>
      <c r="J1455" s="205"/>
      <c r="K1455" s="285">
        <f>SUM(H1441:H1455)</f>
        <v>95981974.705673933</v>
      </c>
      <c r="L1455" s="17">
        <f>IF(K1455='Appendix J-2'!CD79,0,error)</f>
        <v>0</v>
      </c>
    </row>
    <row r="1456" spans="1:12" x14ac:dyDescent="0.25">
      <c r="C1456"/>
      <c r="I1456" s="568"/>
      <c r="J1456"/>
    </row>
    <row r="1457" spans="1:10" ht="15" customHeight="1" x14ac:dyDescent="0.25">
      <c r="A1457" s="272" t="s">
        <v>37</v>
      </c>
      <c r="B1457" s="272"/>
      <c r="C1457" s="272"/>
      <c r="D1457" s="298" t="str">
        <f>'Appendix J-2'!B80</f>
        <v>Assistance</v>
      </c>
      <c r="E1457" s="292" t="str">
        <f>'Appendix J-2'!C80</f>
        <v>1 day</v>
      </c>
      <c r="F1457" s="690"/>
      <c r="G1457" s="690"/>
      <c r="H1457" s="690"/>
      <c r="I1457" s="687" t="s">
        <v>1112</v>
      </c>
      <c r="J1457" s="205"/>
    </row>
    <row r="1458" spans="1:10" x14ac:dyDescent="0.25">
      <c r="A1458" s="147" t="s">
        <v>26</v>
      </c>
      <c r="B1458" s="147" t="s">
        <v>27</v>
      </c>
      <c r="C1458" s="51" t="s">
        <v>166</v>
      </c>
      <c r="D1458" s="91" t="s">
        <v>154</v>
      </c>
      <c r="E1458" s="89" t="s">
        <v>155</v>
      </c>
      <c r="F1458" s="34" t="s">
        <v>158</v>
      </c>
      <c r="G1458" s="35" t="s">
        <v>156</v>
      </c>
      <c r="H1458" s="51" t="s">
        <v>157</v>
      </c>
      <c r="I1458" s="688"/>
      <c r="J1458" s="205"/>
    </row>
    <row r="1459" spans="1:10" x14ac:dyDescent="0.25">
      <c r="A1459" s="21">
        <f>A$5</f>
        <v>1182</v>
      </c>
      <c r="B1459" s="148"/>
      <c r="C1459" s="144">
        <v>1</v>
      </c>
      <c r="D1459" s="210">
        <f>'linked - DO NOT USE or DELETE'!D441</f>
        <v>0</v>
      </c>
      <c r="E1459" s="22">
        <f t="shared" ref="E1459:E1467" si="848">IF(F1459=0,0,F1459/D1459)</f>
        <v>0</v>
      </c>
      <c r="F1459" s="210">
        <f>'linked - DO NOT USE or DELETE'!F441</f>
        <v>0</v>
      </c>
      <c r="G1459" s="25" t="e">
        <f t="shared" ref="G1459:G1467" si="849">H1459/F1459</f>
        <v>#DIV/0!</v>
      </c>
      <c r="H1459" s="211">
        <f>'linked - DO NOT USE or DELETE'!H441</f>
        <v>0</v>
      </c>
      <c r="I1459" s="688"/>
      <c r="J1459" s="205"/>
    </row>
    <row r="1460" spans="1:10" x14ac:dyDescent="0.25">
      <c r="A1460" s="21">
        <f>A$6</f>
        <v>1288</v>
      </c>
      <c r="B1460" s="149">
        <f>(A1460-A1459)/A1459</f>
        <v>8.9678510998307953E-2</v>
      </c>
      <c r="C1460" s="52">
        <v>2</v>
      </c>
      <c r="D1460" s="210">
        <f>'linked - DO NOT USE or DELETE'!I441</f>
        <v>0</v>
      </c>
      <c r="E1460" s="22">
        <f t="shared" si="848"/>
        <v>0</v>
      </c>
      <c r="F1460" s="210">
        <f>'linked - DO NOT USE or DELETE'!K441</f>
        <v>0</v>
      </c>
      <c r="G1460" s="25" t="e">
        <f t="shared" si="849"/>
        <v>#DIV/0!</v>
      </c>
      <c r="H1460" s="211">
        <f>'linked - DO NOT USE or DELETE'!M441</f>
        <v>0</v>
      </c>
      <c r="I1460" s="688"/>
      <c r="J1460" s="205"/>
    </row>
    <row r="1461" spans="1:10" x14ac:dyDescent="0.25">
      <c r="A1461" s="21">
        <f>A$7</f>
        <v>1495</v>
      </c>
      <c r="B1461" s="149">
        <f t="shared" ref="B1461:B1473" si="850">(A1461-A1460)/A1460</f>
        <v>0.16071428571428573</v>
      </c>
      <c r="C1461" s="52">
        <v>3</v>
      </c>
      <c r="D1461" s="210">
        <f>'linked - DO NOT USE or DELETE'!N441</f>
        <v>0</v>
      </c>
      <c r="E1461" s="22">
        <f t="shared" si="848"/>
        <v>0</v>
      </c>
      <c r="F1461" s="210">
        <f>'linked - DO NOT USE or DELETE'!P441</f>
        <v>0</v>
      </c>
      <c r="G1461" s="25" t="e">
        <f t="shared" si="849"/>
        <v>#DIV/0!</v>
      </c>
      <c r="H1461" s="33">
        <f>'linked - DO NOT USE or DELETE'!R441</f>
        <v>0</v>
      </c>
      <c r="I1461" s="688"/>
      <c r="J1461" s="205"/>
    </row>
    <row r="1462" spans="1:10" x14ac:dyDescent="0.25">
      <c r="A1462" s="21">
        <f>A$8</f>
        <v>1484</v>
      </c>
      <c r="B1462" s="149">
        <f t="shared" si="850"/>
        <v>-7.3578595317725752E-3</v>
      </c>
      <c r="C1462" s="52">
        <f t="shared" ref="C1462:C1473" si="851">C1461+1</f>
        <v>4</v>
      </c>
      <c r="D1462" s="247">
        <f>'Appendix J-2'!S80</f>
        <v>0</v>
      </c>
      <c r="E1462" s="22">
        <f t="shared" si="848"/>
        <v>0</v>
      </c>
      <c r="F1462" s="247">
        <f>'Appendix J-2'!U80</f>
        <v>0</v>
      </c>
      <c r="G1462" s="25" t="e">
        <f t="shared" si="849"/>
        <v>#DIV/0!</v>
      </c>
      <c r="H1462" s="248">
        <f>'Appendix J-2'!W80</f>
        <v>0</v>
      </c>
      <c r="I1462" s="688"/>
      <c r="J1462" s="205"/>
    </row>
    <row r="1463" spans="1:10" x14ac:dyDescent="0.25">
      <c r="A1463" s="21">
        <f>A$9</f>
        <v>1528</v>
      </c>
      <c r="B1463" s="149">
        <f t="shared" si="850"/>
        <v>2.9649595687331536E-2</v>
      </c>
      <c r="C1463" s="52">
        <f t="shared" si="851"/>
        <v>5</v>
      </c>
      <c r="D1463" s="249">
        <f>'Appendix J-2'!X80</f>
        <v>0</v>
      </c>
      <c r="E1463" s="22">
        <f t="shared" si="848"/>
        <v>0</v>
      </c>
      <c r="F1463" s="249">
        <f>'Appendix J-2'!Z80</f>
        <v>0</v>
      </c>
      <c r="G1463" s="25" t="e">
        <f t="shared" si="849"/>
        <v>#DIV/0!</v>
      </c>
      <c r="H1463" s="248">
        <f>'Appendix J-2'!AB80</f>
        <v>0</v>
      </c>
      <c r="I1463" s="688"/>
      <c r="J1463" s="205"/>
    </row>
    <row r="1464" spans="1:10" x14ac:dyDescent="0.25">
      <c r="A1464" s="21">
        <f>A$10</f>
        <v>1592</v>
      </c>
      <c r="B1464" s="149">
        <f t="shared" si="850"/>
        <v>4.1884816753926704E-2</v>
      </c>
      <c r="C1464" s="52">
        <f t="shared" si="851"/>
        <v>6</v>
      </c>
      <c r="D1464" s="249">
        <f>'Appendix J-2'!AC80</f>
        <v>0</v>
      </c>
      <c r="E1464" s="22">
        <f t="shared" si="848"/>
        <v>0</v>
      </c>
      <c r="F1464" s="249">
        <f>'Appendix J-2'!AE80</f>
        <v>0</v>
      </c>
      <c r="G1464" s="25" t="e">
        <f t="shared" si="849"/>
        <v>#DIV/0!</v>
      </c>
      <c r="H1464" s="248">
        <f>'Appendix J-2'!AG80</f>
        <v>0</v>
      </c>
      <c r="I1464" s="688"/>
      <c r="J1464" s="205"/>
    </row>
    <row r="1465" spans="1:10" x14ac:dyDescent="0.25">
      <c r="A1465" s="21">
        <f>A$11</f>
        <v>1642</v>
      </c>
      <c r="B1465" s="149">
        <f t="shared" si="850"/>
        <v>3.1407035175879394E-2</v>
      </c>
      <c r="C1465" s="20">
        <f t="shared" si="851"/>
        <v>7</v>
      </c>
      <c r="D1465" s="249">
        <f>'Appendix J-2'!AH80</f>
        <v>1</v>
      </c>
      <c r="E1465" s="22">
        <f t="shared" si="848"/>
        <v>56</v>
      </c>
      <c r="F1465" s="249">
        <f>'Appendix J-2'!AJ80</f>
        <v>56</v>
      </c>
      <c r="G1465" s="25">
        <f t="shared" si="849"/>
        <v>430.75</v>
      </c>
      <c r="H1465" s="248">
        <f>'Appendix J-2'!AL80</f>
        <v>24122</v>
      </c>
      <c r="I1465" s="688"/>
      <c r="J1465" s="205"/>
    </row>
    <row r="1466" spans="1:10" x14ac:dyDescent="0.25">
      <c r="A1466" s="21">
        <f>A$12</f>
        <v>1675</v>
      </c>
      <c r="B1466" s="149">
        <f t="shared" si="850"/>
        <v>2.0097442143727162E-2</v>
      </c>
      <c r="C1466" s="20">
        <f t="shared" si="851"/>
        <v>8</v>
      </c>
      <c r="D1466" s="249">
        <f>'Appendix J-2'!AM80</f>
        <v>1</v>
      </c>
      <c r="E1466" s="22">
        <f t="shared" si="848"/>
        <v>340</v>
      </c>
      <c r="F1466" s="249">
        <f>'Appendix J-2'!AO80</f>
        <v>340</v>
      </c>
      <c r="G1466" s="25">
        <f t="shared" si="849"/>
        <v>424.04411764705884</v>
      </c>
      <c r="H1466" s="248">
        <f>'Appendix J-2'!AQ80</f>
        <v>144175</v>
      </c>
      <c r="I1466" s="688"/>
      <c r="J1466" s="205"/>
    </row>
    <row r="1467" spans="1:10" x14ac:dyDescent="0.25">
      <c r="A1467" s="21">
        <f>A$13</f>
        <v>1739</v>
      </c>
      <c r="B1467" s="149">
        <f t="shared" si="850"/>
        <v>3.8208955223880597E-2</v>
      </c>
      <c r="C1467" s="20">
        <f t="shared" si="851"/>
        <v>9</v>
      </c>
      <c r="D1467" s="249">
        <f>'Appendix J-2'!AR80</f>
        <v>1</v>
      </c>
      <c r="E1467" s="22">
        <f t="shared" si="848"/>
        <v>210</v>
      </c>
      <c r="F1467" s="249">
        <f>'Appendix J-2'!AT80</f>
        <v>210</v>
      </c>
      <c r="G1467" s="25">
        <f t="shared" si="849"/>
        <v>430.75</v>
      </c>
      <c r="H1467" s="248">
        <f>'Appendix J-2'!AV80</f>
        <v>90457.5</v>
      </c>
      <c r="I1467" s="688"/>
      <c r="J1467" s="205"/>
    </row>
    <row r="1468" spans="1:10" x14ac:dyDescent="0.25">
      <c r="A1468" s="21">
        <f>A$14</f>
        <v>1752</v>
      </c>
      <c r="B1468" s="149">
        <f t="shared" si="850"/>
        <v>7.4755606670500289E-3</v>
      </c>
      <c r="C1468" s="20">
        <f t="shared" si="851"/>
        <v>10</v>
      </c>
      <c r="D1468" s="21">
        <f>AO835</f>
        <v>1</v>
      </c>
      <c r="E1468" s="22">
        <f>IF(TREND($E$1465:$E$1467,$C$1465:$C$1467,C1468)&lt;365,TREND($E$1465:$E$1467,$C$1465:$C$1467,C1468),365)</f>
        <v>356</v>
      </c>
      <c r="F1468" s="21">
        <f>D1468*E1468</f>
        <v>356</v>
      </c>
      <c r="G1468" s="24">
        <f>'DDS Rates for Amend'!BV17</f>
        <v>469.22</v>
      </c>
      <c r="H1468" s="33">
        <f t="shared" ref="H1468" si="852">F1468*G1468</f>
        <v>167042.32</v>
      </c>
      <c r="I1468" s="688"/>
      <c r="J1468" s="205"/>
    </row>
    <row r="1469" spans="1:10" x14ac:dyDescent="0.25">
      <c r="A1469" s="21">
        <f>A$15</f>
        <v>1822</v>
      </c>
      <c r="B1469" s="149">
        <f t="shared" si="850"/>
        <v>3.9954337899543377E-2</v>
      </c>
      <c r="C1469" s="20">
        <f t="shared" si="851"/>
        <v>11</v>
      </c>
      <c r="D1469" s="21">
        <f>AR835</f>
        <v>1</v>
      </c>
      <c r="E1469" s="22">
        <f t="shared" ref="E1469:E1473" si="853">IF(TREND($E$1465:$E$1467,$C$1465:$C$1467,C1469)&lt;365,TREND($E$1465:$E$1467,$C$1465:$C$1467,C1469),365)</f>
        <v>365</v>
      </c>
      <c r="F1469" s="21">
        <f t="shared" ref="F1469:F1473" si="854">D1469*E1469</f>
        <v>365</v>
      </c>
      <c r="G1469" s="24">
        <f>'DDS Rates for Amend'!BV18</f>
        <v>481.41972000000004</v>
      </c>
      <c r="H1469" s="33">
        <f t="shared" ref="H1469:H1473" si="855">F1469*G1469</f>
        <v>175718.19780000002</v>
      </c>
      <c r="I1469" s="688"/>
      <c r="J1469" s="205"/>
    </row>
    <row r="1470" spans="1:10" x14ac:dyDescent="0.25">
      <c r="A1470" s="21">
        <f>A$16</f>
        <v>1872</v>
      </c>
      <c r="B1470" s="149">
        <f t="shared" si="850"/>
        <v>2.7442371020856202E-2</v>
      </c>
      <c r="C1470" s="20">
        <f t="shared" si="851"/>
        <v>12</v>
      </c>
      <c r="D1470" s="21">
        <f>AU835</f>
        <v>1</v>
      </c>
      <c r="E1470" s="22">
        <f t="shared" si="853"/>
        <v>365</v>
      </c>
      <c r="F1470" s="21">
        <f t="shared" si="854"/>
        <v>365</v>
      </c>
      <c r="G1470" s="24">
        <f>'DDS Rates for Amend'!BV19</f>
        <v>493.93663272000003</v>
      </c>
      <c r="H1470" s="33">
        <f t="shared" si="855"/>
        <v>180286.87094280001</v>
      </c>
      <c r="I1470" s="688"/>
      <c r="J1470" s="205"/>
    </row>
    <row r="1471" spans="1:10" x14ac:dyDescent="0.25">
      <c r="A1471" s="21">
        <f>A$17</f>
        <v>1902</v>
      </c>
      <c r="B1471" s="149">
        <f t="shared" si="850"/>
        <v>1.6025641025641024E-2</v>
      </c>
      <c r="C1471" s="20">
        <f t="shared" si="851"/>
        <v>13</v>
      </c>
      <c r="D1471" s="21">
        <f>AX835</f>
        <v>1</v>
      </c>
      <c r="E1471" s="22">
        <f t="shared" si="853"/>
        <v>365</v>
      </c>
      <c r="F1471" s="21">
        <f t="shared" si="854"/>
        <v>365</v>
      </c>
      <c r="G1471" s="24">
        <f>'DDS Rates for Amend'!BV20</f>
        <v>506.77898517072003</v>
      </c>
      <c r="H1471" s="33">
        <f t="shared" si="855"/>
        <v>184974.32958731282</v>
      </c>
      <c r="I1471" s="688"/>
      <c r="J1471" s="205"/>
    </row>
    <row r="1472" spans="1:10" x14ac:dyDescent="0.25">
      <c r="A1472" s="21">
        <f>A$18</f>
        <v>1932</v>
      </c>
      <c r="B1472" s="149">
        <f t="shared" si="850"/>
        <v>1.5772870662460567E-2</v>
      </c>
      <c r="C1472" s="20">
        <f t="shared" si="851"/>
        <v>14</v>
      </c>
      <c r="D1472" s="21">
        <f>BA835</f>
        <v>1</v>
      </c>
      <c r="E1472" s="22">
        <f t="shared" si="853"/>
        <v>365</v>
      </c>
      <c r="F1472" s="21">
        <f t="shared" si="854"/>
        <v>365</v>
      </c>
      <c r="G1472" s="24">
        <f>'DDS Rates for Amend'!BV21</f>
        <v>519.95523878515871</v>
      </c>
      <c r="H1472" s="33">
        <f t="shared" si="855"/>
        <v>189783.66215658293</v>
      </c>
      <c r="I1472" s="688"/>
      <c r="J1472" s="205"/>
    </row>
    <row r="1473" spans="1:12" x14ac:dyDescent="0.25">
      <c r="A1473" s="21">
        <f>A$19</f>
        <v>1962</v>
      </c>
      <c r="B1473" s="149">
        <f t="shared" si="850"/>
        <v>1.5527950310559006E-2</v>
      </c>
      <c r="C1473" s="20">
        <f t="shared" si="851"/>
        <v>15</v>
      </c>
      <c r="D1473" s="21">
        <f>BD835</f>
        <v>1</v>
      </c>
      <c r="E1473" s="22">
        <f t="shared" si="853"/>
        <v>365</v>
      </c>
      <c r="F1473" s="21">
        <f t="shared" si="854"/>
        <v>365</v>
      </c>
      <c r="G1473" s="24">
        <f>'DDS Rates for Amend'!BV22</f>
        <v>533.4740749935728</v>
      </c>
      <c r="H1473" s="33">
        <f t="shared" si="855"/>
        <v>194718.03737265407</v>
      </c>
      <c r="I1473" s="689"/>
      <c r="J1473" s="205"/>
      <c r="K1473" s="285">
        <f>SUM(H1459:H1473)</f>
        <v>1351277.9178593501</v>
      </c>
      <c r="L1473" s="17">
        <f>IF(K1473='Appendix J-2'!CD80,0,error)</f>
        <v>0</v>
      </c>
    </row>
    <row r="1474" spans="1:12" x14ac:dyDescent="0.25">
      <c r="C1474"/>
      <c r="I1474" s="568"/>
      <c r="J1474"/>
    </row>
    <row r="1475" spans="1:12" ht="15" customHeight="1" x14ac:dyDescent="0.25">
      <c r="A1475" s="272" t="s">
        <v>38</v>
      </c>
      <c r="B1475" s="272"/>
      <c r="C1475" s="272"/>
      <c r="D1475" s="298" t="str">
        <f>'Appendix J-2'!B81</f>
        <v>Assistance</v>
      </c>
      <c r="E1475" s="292" t="str">
        <f>'Appendix J-2'!C81</f>
        <v>1 day</v>
      </c>
      <c r="F1475" s="690"/>
      <c r="G1475" s="690"/>
      <c r="H1475" s="690"/>
      <c r="I1475" s="687" t="s">
        <v>1109</v>
      </c>
      <c r="J1475" s="205"/>
    </row>
    <row r="1476" spans="1:12" x14ac:dyDescent="0.25">
      <c r="A1476" s="147" t="s">
        <v>26</v>
      </c>
      <c r="B1476" s="147" t="s">
        <v>27</v>
      </c>
      <c r="C1476" s="51" t="s">
        <v>166</v>
      </c>
      <c r="D1476" s="91" t="s">
        <v>154</v>
      </c>
      <c r="E1476" s="89" t="s">
        <v>155</v>
      </c>
      <c r="F1476" s="34" t="s">
        <v>158</v>
      </c>
      <c r="G1476" s="35" t="s">
        <v>156</v>
      </c>
      <c r="H1476" s="51" t="s">
        <v>157</v>
      </c>
      <c r="I1476" s="688"/>
      <c r="J1476" s="205"/>
    </row>
    <row r="1477" spans="1:12" x14ac:dyDescent="0.25">
      <c r="A1477" s="21">
        <f>A$5</f>
        <v>1182</v>
      </c>
      <c r="B1477" s="148"/>
      <c r="C1477" s="144">
        <v>1</v>
      </c>
      <c r="D1477" s="210">
        <f>'linked - DO NOT USE or DELETE'!D442</f>
        <v>0</v>
      </c>
      <c r="E1477" s="22">
        <f t="shared" ref="E1477:E1485" si="856">IF(F1477=0,0,F1477/D1477)</f>
        <v>0</v>
      </c>
      <c r="F1477" s="210">
        <f>'linked - DO NOT USE or DELETE'!F442</f>
        <v>0</v>
      </c>
      <c r="G1477" s="25" t="e">
        <f t="shared" ref="G1477:G1485" si="857">H1477/F1477</f>
        <v>#DIV/0!</v>
      </c>
      <c r="H1477" s="211">
        <f>'linked - DO NOT USE or DELETE'!H442</f>
        <v>0</v>
      </c>
      <c r="I1477" s="688"/>
      <c r="J1477" s="205"/>
    </row>
    <row r="1478" spans="1:12" x14ac:dyDescent="0.25">
      <c r="A1478" s="21">
        <f>A$6</f>
        <v>1288</v>
      </c>
      <c r="B1478" s="149">
        <f>(A1478-A1477)/A1477</f>
        <v>8.9678510998307953E-2</v>
      </c>
      <c r="C1478" s="52">
        <v>2</v>
      </c>
      <c r="D1478" s="210">
        <f>'linked - DO NOT USE or DELETE'!I442</f>
        <v>0</v>
      </c>
      <c r="E1478" s="22">
        <f t="shared" si="856"/>
        <v>0</v>
      </c>
      <c r="F1478" s="210">
        <f>'linked - DO NOT USE or DELETE'!K442</f>
        <v>0</v>
      </c>
      <c r="G1478" s="25" t="e">
        <f t="shared" si="857"/>
        <v>#DIV/0!</v>
      </c>
      <c r="H1478" s="211">
        <f>'linked - DO NOT USE or DELETE'!M442</f>
        <v>0</v>
      </c>
      <c r="I1478" s="688"/>
      <c r="J1478" s="205"/>
    </row>
    <row r="1479" spans="1:12" x14ac:dyDescent="0.25">
      <c r="A1479" s="21">
        <f>A$7</f>
        <v>1495</v>
      </c>
      <c r="B1479" s="149">
        <f t="shared" ref="B1479:B1491" si="858">(A1479-A1478)/A1478</f>
        <v>0.16071428571428573</v>
      </c>
      <c r="C1479" s="52">
        <v>3</v>
      </c>
      <c r="D1479" s="210">
        <f>'linked - DO NOT USE or DELETE'!N442</f>
        <v>0</v>
      </c>
      <c r="E1479" s="22">
        <f t="shared" si="856"/>
        <v>0</v>
      </c>
      <c r="F1479" s="210">
        <f>'linked - DO NOT USE or DELETE'!P442</f>
        <v>0</v>
      </c>
      <c r="G1479" s="25" t="e">
        <f t="shared" si="857"/>
        <v>#DIV/0!</v>
      </c>
      <c r="H1479" s="33">
        <f>'linked - DO NOT USE or DELETE'!R442</f>
        <v>0</v>
      </c>
      <c r="I1479" s="688"/>
      <c r="J1479" s="205"/>
    </row>
    <row r="1480" spans="1:12" x14ac:dyDescent="0.25">
      <c r="A1480" s="21">
        <f>A$8</f>
        <v>1484</v>
      </c>
      <c r="B1480" s="149">
        <f t="shared" si="858"/>
        <v>-7.3578595317725752E-3</v>
      </c>
      <c r="C1480" s="52">
        <f t="shared" ref="C1480:C1491" si="859">C1479+1</f>
        <v>4</v>
      </c>
      <c r="D1480" s="247">
        <f>'Appendix J-2'!S81</f>
        <v>0</v>
      </c>
      <c r="E1480" s="22">
        <f t="shared" si="856"/>
        <v>0</v>
      </c>
      <c r="F1480" s="247">
        <f>'Appendix J-2'!U81</f>
        <v>0</v>
      </c>
      <c r="G1480" s="25" t="e">
        <f t="shared" si="857"/>
        <v>#DIV/0!</v>
      </c>
      <c r="H1480" s="248">
        <f>'Appendix J-2'!W81</f>
        <v>0</v>
      </c>
      <c r="I1480" s="688"/>
      <c r="J1480" s="205"/>
    </row>
    <row r="1481" spans="1:12" x14ac:dyDescent="0.25">
      <c r="A1481" s="21">
        <f>A$9</f>
        <v>1528</v>
      </c>
      <c r="B1481" s="149">
        <f t="shared" si="858"/>
        <v>2.9649595687331536E-2</v>
      </c>
      <c r="C1481" s="52">
        <f t="shared" si="859"/>
        <v>5</v>
      </c>
      <c r="D1481" s="249">
        <f>'Appendix J-2'!X81</f>
        <v>0</v>
      </c>
      <c r="E1481" s="22">
        <f t="shared" si="856"/>
        <v>0</v>
      </c>
      <c r="F1481" s="249">
        <f>'Appendix J-2'!Z81</f>
        <v>0</v>
      </c>
      <c r="G1481" s="25" t="e">
        <f t="shared" si="857"/>
        <v>#DIV/0!</v>
      </c>
      <c r="H1481" s="248">
        <f>'Appendix J-2'!AB81</f>
        <v>0</v>
      </c>
      <c r="I1481" s="688"/>
      <c r="J1481" s="205"/>
    </row>
    <row r="1482" spans="1:12" x14ac:dyDescent="0.25">
      <c r="A1482" s="21">
        <f>A$10</f>
        <v>1592</v>
      </c>
      <c r="B1482" s="149">
        <f t="shared" si="858"/>
        <v>4.1884816753926704E-2</v>
      </c>
      <c r="C1482" s="52">
        <f t="shared" si="859"/>
        <v>6</v>
      </c>
      <c r="D1482" s="249">
        <f>'Appendix J-2'!AC81</f>
        <v>0</v>
      </c>
      <c r="E1482" s="22">
        <f t="shared" si="856"/>
        <v>0</v>
      </c>
      <c r="F1482" s="249">
        <f>'Appendix J-2'!AE81</f>
        <v>0</v>
      </c>
      <c r="G1482" s="25" t="e">
        <f t="shared" si="857"/>
        <v>#DIV/0!</v>
      </c>
      <c r="H1482" s="248">
        <f>'Appendix J-2'!AG81</f>
        <v>0</v>
      </c>
      <c r="I1482" s="688"/>
      <c r="J1482" s="205"/>
    </row>
    <row r="1483" spans="1:12" x14ac:dyDescent="0.25">
      <c r="A1483" s="21">
        <f>A$11</f>
        <v>1642</v>
      </c>
      <c r="B1483" s="149">
        <f t="shared" si="858"/>
        <v>3.1407035175879394E-2</v>
      </c>
      <c r="C1483" s="20">
        <f t="shared" si="859"/>
        <v>7</v>
      </c>
      <c r="D1483" s="249">
        <f>'Appendix J-2'!AH81</f>
        <v>2</v>
      </c>
      <c r="E1483" s="22">
        <f t="shared" si="856"/>
        <v>145.5</v>
      </c>
      <c r="F1483" s="249">
        <f>'Appendix J-2'!AJ81</f>
        <v>291</v>
      </c>
      <c r="G1483" s="25">
        <f t="shared" si="857"/>
        <v>489.0281786941581</v>
      </c>
      <c r="H1483" s="248">
        <f>'Appendix J-2'!AL81</f>
        <v>142307.20000000001</v>
      </c>
      <c r="I1483" s="688"/>
      <c r="J1483" s="205"/>
    </row>
    <row r="1484" spans="1:12" x14ac:dyDescent="0.25">
      <c r="A1484" s="21">
        <f>A$12</f>
        <v>1675</v>
      </c>
      <c r="B1484" s="149">
        <f t="shared" si="858"/>
        <v>2.0097442143727162E-2</v>
      </c>
      <c r="C1484" s="20">
        <f t="shared" si="859"/>
        <v>8</v>
      </c>
      <c r="D1484" s="249">
        <f>'Appendix J-2'!AM81</f>
        <v>3</v>
      </c>
      <c r="E1484" s="22">
        <f t="shared" si="856"/>
        <v>151</v>
      </c>
      <c r="F1484" s="249">
        <f>'Appendix J-2'!AO81</f>
        <v>453</v>
      </c>
      <c r="G1484" s="25">
        <f t="shared" si="857"/>
        <v>500.39558498896253</v>
      </c>
      <c r="H1484" s="248">
        <f>'Appendix J-2'!AQ81</f>
        <v>226679.2</v>
      </c>
      <c r="I1484" s="688"/>
      <c r="J1484" s="205"/>
    </row>
    <row r="1485" spans="1:12" x14ac:dyDescent="0.25">
      <c r="A1485" s="21">
        <f>A$13</f>
        <v>1739</v>
      </c>
      <c r="B1485" s="149">
        <f t="shared" si="858"/>
        <v>3.8208955223880597E-2</v>
      </c>
      <c r="C1485" s="20">
        <f t="shared" si="859"/>
        <v>9</v>
      </c>
      <c r="D1485" s="249">
        <f>'Appendix J-2'!AR81</f>
        <v>7</v>
      </c>
      <c r="E1485" s="22">
        <f t="shared" si="856"/>
        <v>183</v>
      </c>
      <c r="F1485" s="249">
        <f>'Appendix J-2'!AT81</f>
        <v>1281</v>
      </c>
      <c r="G1485" s="25">
        <f t="shared" si="857"/>
        <v>514.21415300546448</v>
      </c>
      <c r="H1485" s="248">
        <f>'Appendix J-2'!AV81</f>
        <v>658708.32999999996</v>
      </c>
      <c r="I1485" s="688"/>
      <c r="J1485" s="205"/>
    </row>
    <row r="1486" spans="1:12" x14ac:dyDescent="0.25">
      <c r="A1486" s="21">
        <f>A$14</f>
        <v>1752</v>
      </c>
      <c r="B1486" s="149">
        <f t="shared" si="858"/>
        <v>7.4755606670500289E-3</v>
      </c>
      <c r="C1486" s="20">
        <f t="shared" si="859"/>
        <v>10</v>
      </c>
      <c r="D1486" s="21">
        <f>AO836</f>
        <v>5</v>
      </c>
      <c r="E1486" s="22">
        <f>IF(TREND($E$1483:$E$1485,$C$1483:$C$1485,C1486)&lt;365,TREND($E$1483:$E$1485,$C$1483:$C$1485,C1486),365)</f>
        <v>197.33333333333334</v>
      </c>
      <c r="F1486" s="21">
        <f t="shared" ref="F1486" si="860">D1486*E1486</f>
        <v>986.66666666666674</v>
      </c>
      <c r="G1486" s="24">
        <f>'DDS Rates for Amend'!BW17</f>
        <v>517.49</v>
      </c>
      <c r="H1486" s="33">
        <f t="shared" ref="H1486" si="861">F1486*G1486</f>
        <v>510590.13333333336</v>
      </c>
      <c r="I1486" s="688"/>
      <c r="J1486" s="205"/>
    </row>
    <row r="1487" spans="1:12" x14ac:dyDescent="0.25">
      <c r="A1487" s="21">
        <f>A$15</f>
        <v>1822</v>
      </c>
      <c r="B1487" s="149">
        <f t="shared" si="858"/>
        <v>3.9954337899543377E-2</v>
      </c>
      <c r="C1487" s="20">
        <f t="shared" si="859"/>
        <v>11</v>
      </c>
      <c r="D1487" s="21">
        <f>AR836</f>
        <v>5</v>
      </c>
      <c r="E1487" s="22">
        <f t="shared" ref="E1487:E1491" si="862">IF(TREND($E$1483:$E$1485,$C$1483:$C$1485,C1487)&lt;365,TREND($E$1483:$E$1485,$C$1483:$C$1485,C1487),365)</f>
        <v>216.08333333333334</v>
      </c>
      <c r="F1487" s="21">
        <f t="shared" ref="F1487:F1491" si="863">D1487*E1487</f>
        <v>1080.4166666666667</v>
      </c>
      <c r="G1487" s="24">
        <f>'DDS Rates for Amend'!BW18</f>
        <v>530.94474000000002</v>
      </c>
      <c r="H1487" s="33">
        <f t="shared" ref="H1487:H1491" si="864">F1487*G1487</f>
        <v>573641.54617500002</v>
      </c>
      <c r="I1487" s="688"/>
      <c r="J1487" s="205"/>
    </row>
    <row r="1488" spans="1:12" x14ac:dyDescent="0.25">
      <c r="A1488" s="21">
        <f>A$16</f>
        <v>1872</v>
      </c>
      <c r="B1488" s="149">
        <f t="shared" si="858"/>
        <v>2.7442371020856202E-2</v>
      </c>
      <c r="C1488" s="20">
        <f t="shared" si="859"/>
        <v>12</v>
      </c>
      <c r="D1488" s="21">
        <f>AU836</f>
        <v>5</v>
      </c>
      <c r="E1488" s="22">
        <f t="shared" si="862"/>
        <v>234.83333333333334</v>
      </c>
      <c r="F1488" s="21">
        <f t="shared" si="863"/>
        <v>1174.1666666666667</v>
      </c>
      <c r="G1488" s="24">
        <f>'DDS Rates for Amend'!BW19</f>
        <v>544.74930324000002</v>
      </c>
      <c r="H1488" s="33">
        <f t="shared" si="864"/>
        <v>639626.47355430003</v>
      </c>
      <c r="I1488" s="688"/>
      <c r="J1488" s="205"/>
    </row>
    <row r="1489" spans="1:12" x14ac:dyDescent="0.25">
      <c r="A1489" s="21">
        <f>A$17</f>
        <v>1902</v>
      </c>
      <c r="B1489" s="149">
        <f t="shared" si="858"/>
        <v>1.6025641025641024E-2</v>
      </c>
      <c r="C1489" s="20">
        <f t="shared" si="859"/>
        <v>13</v>
      </c>
      <c r="D1489" s="21">
        <f>AX836</f>
        <v>5</v>
      </c>
      <c r="E1489" s="22">
        <f t="shared" si="862"/>
        <v>253.58333333333334</v>
      </c>
      <c r="F1489" s="21">
        <f t="shared" si="863"/>
        <v>1267.9166666666667</v>
      </c>
      <c r="G1489" s="24">
        <f>'DDS Rates for Amend'!BW20</f>
        <v>558.91278512424003</v>
      </c>
      <c r="H1489" s="33">
        <f t="shared" si="864"/>
        <v>708654.83547210938</v>
      </c>
      <c r="I1489" s="688"/>
      <c r="J1489" s="205"/>
    </row>
    <row r="1490" spans="1:12" x14ac:dyDescent="0.25">
      <c r="A1490" s="21">
        <f>A$18</f>
        <v>1932</v>
      </c>
      <c r="B1490" s="149">
        <f t="shared" si="858"/>
        <v>1.5772870662460567E-2</v>
      </c>
      <c r="C1490" s="20">
        <f t="shared" si="859"/>
        <v>14</v>
      </c>
      <c r="D1490" s="21">
        <f>BA836</f>
        <v>5</v>
      </c>
      <c r="E1490" s="22">
        <f t="shared" si="862"/>
        <v>272.33333333333337</v>
      </c>
      <c r="F1490" s="21">
        <f t="shared" si="863"/>
        <v>1361.666666666667</v>
      </c>
      <c r="G1490" s="24">
        <f>'DDS Rates for Amend'!BW21</f>
        <v>573.44451753747023</v>
      </c>
      <c r="H1490" s="33">
        <f t="shared" si="864"/>
        <v>780840.28471352218</v>
      </c>
      <c r="I1490" s="688"/>
      <c r="J1490" s="205"/>
    </row>
    <row r="1491" spans="1:12" x14ac:dyDescent="0.25">
      <c r="A1491" s="21">
        <f>A$19</f>
        <v>1962</v>
      </c>
      <c r="B1491" s="149">
        <f t="shared" si="858"/>
        <v>1.5527950310559006E-2</v>
      </c>
      <c r="C1491" s="20">
        <f t="shared" si="859"/>
        <v>15</v>
      </c>
      <c r="D1491" s="21">
        <f>BD836</f>
        <v>6</v>
      </c>
      <c r="E1491" s="22">
        <f t="shared" si="862"/>
        <v>291.08333333333337</v>
      </c>
      <c r="F1491" s="21">
        <f t="shared" si="863"/>
        <v>1746.5000000000002</v>
      </c>
      <c r="G1491" s="24">
        <f>'DDS Rates for Amend'!BW22</f>
        <v>588.35407499344444</v>
      </c>
      <c r="H1491" s="33">
        <f t="shared" si="864"/>
        <v>1027560.3919760508</v>
      </c>
      <c r="I1491" s="689"/>
      <c r="J1491" s="205"/>
      <c r="K1491" s="285">
        <f>SUM(H1477:H1491)</f>
        <v>5268608.395224316</v>
      </c>
      <c r="L1491" s="17">
        <f>IF(K1491='Appendix J-2'!CD81,0,error)</f>
        <v>0</v>
      </c>
    </row>
    <row r="1492" spans="1:12" x14ac:dyDescent="0.25">
      <c r="C1492"/>
      <c r="I1492" s="568"/>
      <c r="J1492"/>
    </row>
    <row r="1493" spans="1:12" ht="15" customHeight="1" x14ac:dyDescent="0.25">
      <c r="A1493" s="272" t="s">
        <v>39</v>
      </c>
      <c r="B1493" s="272"/>
      <c r="C1493" s="272"/>
      <c r="D1493" s="298" t="str">
        <f>'Appendix J-2'!B82</f>
        <v>Assistance</v>
      </c>
      <c r="E1493" s="292" t="str">
        <f>'Appendix J-2'!C82</f>
        <v>1 day</v>
      </c>
      <c r="F1493" s="690"/>
      <c r="G1493" s="690"/>
      <c r="H1493" s="690"/>
      <c r="I1493" s="687" t="s">
        <v>1112</v>
      </c>
      <c r="J1493" s="205"/>
    </row>
    <row r="1494" spans="1:12" x14ac:dyDescent="0.25">
      <c r="A1494" s="147" t="s">
        <v>26</v>
      </c>
      <c r="B1494" s="147" t="s">
        <v>27</v>
      </c>
      <c r="C1494" s="51" t="s">
        <v>166</v>
      </c>
      <c r="D1494" s="91" t="s">
        <v>154</v>
      </c>
      <c r="E1494" s="89" t="s">
        <v>155</v>
      </c>
      <c r="F1494" s="34" t="s">
        <v>158</v>
      </c>
      <c r="G1494" s="35" t="s">
        <v>156</v>
      </c>
      <c r="H1494" s="51" t="s">
        <v>157</v>
      </c>
      <c r="I1494" s="688"/>
      <c r="J1494" s="205"/>
    </row>
    <row r="1495" spans="1:12" x14ac:dyDescent="0.25">
      <c r="A1495" s="21">
        <f>A$5</f>
        <v>1182</v>
      </c>
      <c r="B1495" s="148"/>
      <c r="C1495" s="144">
        <v>1</v>
      </c>
      <c r="D1495" s="210">
        <f>'linked - DO NOT USE or DELETE'!D443</f>
        <v>0</v>
      </c>
      <c r="E1495" s="22">
        <f t="shared" ref="E1495:E1503" si="865">IF(F1495=0,0,F1495/D1495)</f>
        <v>0</v>
      </c>
      <c r="F1495" s="210">
        <f>'linked - DO NOT USE or DELETE'!F443</f>
        <v>0</v>
      </c>
      <c r="G1495" s="25" t="e">
        <f t="shared" ref="G1495:G1503" si="866">H1495/F1495</f>
        <v>#DIV/0!</v>
      </c>
      <c r="H1495" s="211">
        <f>'linked - DO NOT USE or DELETE'!H443</f>
        <v>0</v>
      </c>
      <c r="I1495" s="688"/>
      <c r="J1495" s="205"/>
    </row>
    <row r="1496" spans="1:12" x14ac:dyDescent="0.25">
      <c r="A1496" s="21">
        <f>A$6</f>
        <v>1288</v>
      </c>
      <c r="B1496" s="149">
        <f>(A1496-A1495)/A1495</f>
        <v>8.9678510998307953E-2</v>
      </c>
      <c r="C1496" s="52">
        <v>2</v>
      </c>
      <c r="D1496" s="210">
        <f>'linked - DO NOT USE or DELETE'!I443</f>
        <v>0</v>
      </c>
      <c r="E1496" s="22">
        <f t="shared" si="865"/>
        <v>0</v>
      </c>
      <c r="F1496" s="210">
        <f>'linked - DO NOT USE or DELETE'!K443</f>
        <v>0</v>
      </c>
      <c r="G1496" s="25" t="e">
        <f t="shared" si="866"/>
        <v>#DIV/0!</v>
      </c>
      <c r="H1496" s="211">
        <f>'linked - DO NOT USE or DELETE'!M443</f>
        <v>0</v>
      </c>
      <c r="I1496" s="688"/>
      <c r="J1496" s="205"/>
    </row>
    <row r="1497" spans="1:12" x14ac:dyDescent="0.25">
      <c r="A1497" s="21">
        <f>A$7</f>
        <v>1495</v>
      </c>
      <c r="B1497" s="149">
        <f t="shared" ref="B1497:B1509" si="867">(A1497-A1496)/A1496</f>
        <v>0.16071428571428573</v>
      </c>
      <c r="C1497" s="52">
        <v>3</v>
      </c>
      <c r="D1497" s="210">
        <f>'linked - DO NOT USE or DELETE'!N443</f>
        <v>0</v>
      </c>
      <c r="E1497" s="22">
        <f t="shared" si="865"/>
        <v>0</v>
      </c>
      <c r="F1497" s="210">
        <f>'linked - DO NOT USE or DELETE'!P443</f>
        <v>0</v>
      </c>
      <c r="G1497" s="25" t="e">
        <f t="shared" si="866"/>
        <v>#DIV/0!</v>
      </c>
      <c r="H1497" s="33">
        <f>'linked - DO NOT USE or DELETE'!R443</f>
        <v>0</v>
      </c>
      <c r="I1497" s="688"/>
      <c r="J1497" s="205"/>
    </row>
    <row r="1498" spans="1:12" x14ac:dyDescent="0.25">
      <c r="A1498" s="21">
        <f>A$8</f>
        <v>1484</v>
      </c>
      <c r="B1498" s="149">
        <f t="shared" si="867"/>
        <v>-7.3578595317725752E-3</v>
      </c>
      <c r="C1498" s="52">
        <f t="shared" ref="C1498:C1509" si="868">C1497+1</f>
        <v>4</v>
      </c>
      <c r="D1498" s="247">
        <f>'Appendix J-2'!S82</f>
        <v>0</v>
      </c>
      <c r="E1498" s="22">
        <f t="shared" si="865"/>
        <v>0</v>
      </c>
      <c r="F1498" s="247">
        <f>'Appendix J-2'!U82</f>
        <v>0</v>
      </c>
      <c r="G1498" s="25" t="e">
        <f t="shared" si="866"/>
        <v>#DIV/0!</v>
      </c>
      <c r="H1498" s="248">
        <f>'Appendix J-2'!W82</f>
        <v>0</v>
      </c>
      <c r="I1498" s="688"/>
      <c r="J1498" s="205"/>
    </row>
    <row r="1499" spans="1:12" x14ac:dyDescent="0.25">
      <c r="A1499" s="21">
        <f>A$9</f>
        <v>1528</v>
      </c>
      <c r="B1499" s="149">
        <f t="shared" si="867"/>
        <v>2.9649595687331536E-2</v>
      </c>
      <c r="C1499" s="52">
        <f t="shared" si="868"/>
        <v>5</v>
      </c>
      <c r="D1499" s="249">
        <f>'Appendix J-2'!X82</f>
        <v>0</v>
      </c>
      <c r="E1499" s="22">
        <f t="shared" si="865"/>
        <v>0</v>
      </c>
      <c r="F1499" s="249">
        <f>'Appendix J-2'!Z82</f>
        <v>0</v>
      </c>
      <c r="G1499" s="25" t="e">
        <f t="shared" si="866"/>
        <v>#DIV/0!</v>
      </c>
      <c r="H1499" s="248">
        <f>'Appendix J-2'!AB82</f>
        <v>0</v>
      </c>
      <c r="I1499" s="688"/>
      <c r="J1499" s="205"/>
    </row>
    <row r="1500" spans="1:12" x14ac:dyDescent="0.25">
      <c r="A1500" s="21">
        <f>A$10</f>
        <v>1592</v>
      </c>
      <c r="B1500" s="149">
        <f t="shared" si="867"/>
        <v>4.1884816753926704E-2</v>
      </c>
      <c r="C1500" s="20">
        <f t="shared" si="868"/>
        <v>6</v>
      </c>
      <c r="D1500" s="249">
        <f>'Appendix J-2'!AC82</f>
        <v>0</v>
      </c>
      <c r="E1500" s="22">
        <f t="shared" si="865"/>
        <v>0</v>
      </c>
      <c r="F1500" s="249">
        <f>'Appendix J-2'!AE82</f>
        <v>0</v>
      </c>
      <c r="G1500" s="25" t="e">
        <f t="shared" si="866"/>
        <v>#DIV/0!</v>
      </c>
      <c r="H1500" s="248">
        <f>'Appendix J-2'!AG82</f>
        <v>0</v>
      </c>
      <c r="I1500" s="688"/>
      <c r="J1500" s="205"/>
    </row>
    <row r="1501" spans="1:12" x14ac:dyDescent="0.25">
      <c r="A1501" s="21">
        <f>A$11</f>
        <v>1642</v>
      </c>
      <c r="B1501" s="149">
        <f t="shared" si="867"/>
        <v>3.1407035175879394E-2</v>
      </c>
      <c r="C1501" s="20">
        <f t="shared" si="868"/>
        <v>7</v>
      </c>
      <c r="D1501" s="249">
        <f>'Appendix J-2'!AH82</f>
        <v>59</v>
      </c>
      <c r="E1501" s="22">
        <f t="shared" si="865"/>
        <v>104.94915254237289</v>
      </c>
      <c r="F1501" s="249">
        <f>'Appendix J-2'!AJ82</f>
        <v>6192</v>
      </c>
      <c r="G1501" s="25">
        <f t="shared" si="866"/>
        <v>524.22079618863052</v>
      </c>
      <c r="H1501" s="248">
        <f>'Appendix J-2'!AL82</f>
        <v>3245975.17</v>
      </c>
      <c r="I1501" s="688"/>
      <c r="J1501" s="205"/>
    </row>
    <row r="1502" spans="1:12" x14ac:dyDescent="0.25">
      <c r="A1502" s="21">
        <f>A$12</f>
        <v>1675</v>
      </c>
      <c r="B1502" s="149">
        <f t="shared" si="867"/>
        <v>2.0097442143727162E-2</v>
      </c>
      <c r="C1502" s="20">
        <f t="shared" si="868"/>
        <v>8</v>
      </c>
      <c r="D1502" s="249">
        <f>'Appendix J-2'!AM82</f>
        <v>83</v>
      </c>
      <c r="E1502" s="22">
        <f t="shared" si="865"/>
        <v>246.68674698795181</v>
      </c>
      <c r="F1502" s="249">
        <f>'Appendix J-2'!AO82</f>
        <v>20475</v>
      </c>
      <c r="G1502" s="25">
        <f t="shared" si="866"/>
        <v>552.03103931623923</v>
      </c>
      <c r="H1502" s="248">
        <f>'Appendix J-2'!AQ82</f>
        <v>11302835.529999999</v>
      </c>
      <c r="I1502" s="688"/>
      <c r="J1502" s="205"/>
    </row>
    <row r="1503" spans="1:12" x14ac:dyDescent="0.25">
      <c r="A1503" s="21">
        <f>A$13</f>
        <v>1739</v>
      </c>
      <c r="B1503" s="149">
        <f t="shared" si="867"/>
        <v>3.8208955223880597E-2</v>
      </c>
      <c r="C1503" s="20">
        <f t="shared" si="868"/>
        <v>9</v>
      </c>
      <c r="D1503" s="249">
        <f>'Appendix J-2'!AR82</f>
        <v>113</v>
      </c>
      <c r="E1503" s="22">
        <f t="shared" si="865"/>
        <v>246.25663716814159</v>
      </c>
      <c r="F1503" s="249">
        <f>'Appendix J-2'!AT82</f>
        <v>27827</v>
      </c>
      <c r="G1503" s="25">
        <f t="shared" si="866"/>
        <v>564.83083875372836</v>
      </c>
      <c r="H1503" s="248">
        <f>'Appendix J-2'!AV82</f>
        <v>15717547.75</v>
      </c>
      <c r="I1503" s="688"/>
      <c r="J1503" s="205"/>
    </row>
    <row r="1504" spans="1:12" x14ac:dyDescent="0.25">
      <c r="A1504" s="21">
        <f>A$14</f>
        <v>1752</v>
      </c>
      <c r="B1504" s="149">
        <f t="shared" si="867"/>
        <v>7.4755606670500289E-3</v>
      </c>
      <c r="C1504" s="20">
        <f t="shared" si="868"/>
        <v>10</v>
      </c>
      <c r="D1504" s="21">
        <f>AO837</f>
        <v>79</v>
      </c>
      <c r="E1504" s="22">
        <f>IF(TREND($E$1501:$E$1503,$C$1501:$C$1503,C1504)&lt;365,TREND($E$1501:$E$1503,$C$1501:$C$1503,C1504),365)</f>
        <v>340.60499685859088</v>
      </c>
      <c r="F1504" s="21">
        <f>D1504*E1504</f>
        <v>26907.794751828678</v>
      </c>
      <c r="G1504" s="24">
        <f>'DDS Rates for Amend'!BX17</f>
        <v>593.24</v>
      </c>
      <c r="H1504" s="33">
        <f>F1504*G1504</f>
        <v>15962780.158574846</v>
      </c>
      <c r="I1504" s="688"/>
      <c r="J1504" s="205"/>
    </row>
    <row r="1505" spans="1:12" x14ac:dyDescent="0.25">
      <c r="A1505" s="21">
        <f>A$15</f>
        <v>1822</v>
      </c>
      <c r="B1505" s="149">
        <f t="shared" si="867"/>
        <v>3.9954337899543377E-2</v>
      </c>
      <c r="C1505" s="20">
        <f t="shared" si="868"/>
        <v>11</v>
      </c>
      <c r="D1505" s="21">
        <f>AR837</f>
        <v>82</v>
      </c>
      <c r="E1505" s="22">
        <f t="shared" ref="E1505:E1509" si="869">IF(TREND($E$1501:$E$1503,$C$1501:$C$1503,C1505)&lt;365,TREND($E$1501:$E$1503,$C$1501:$C$1503,C1505),365)</f>
        <v>365</v>
      </c>
      <c r="F1505" s="21">
        <f t="shared" ref="F1505:F1509" si="870">D1505*E1505</f>
        <v>29930</v>
      </c>
      <c r="G1505" s="24">
        <f>'DDS Rates for Amend'!BX18</f>
        <v>608.66424000000006</v>
      </c>
      <c r="H1505" s="33">
        <f t="shared" ref="H1505:H1509" si="871">F1505*G1505</f>
        <v>18217320.703200001</v>
      </c>
      <c r="I1505" s="688"/>
      <c r="J1505" s="205"/>
    </row>
    <row r="1506" spans="1:12" x14ac:dyDescent="0.25">
      <c r="A1506" s="21">
        <f>A$16</f>
        <v>1872</v>
      </c>
      <c r="B1506" s="149">
        <f t="shared" si="867"/>
        <v>2.7442371020856202E-2</v>
      </c>
      <c r="C1506" s="20">
        <f t="shared" si="868"/>
        <v>12</v>
      </c>
      <c r="D1506" s="21">
        <f>AU837</f>
        <v>85</v>
      </c>
      <c r="E1506" s="22">
        <f t="shared" si="869"/>
        <v>365</v>
      </c>
      <c r="F1506" s="21">
        <f t="shared" si="870"/>
        <v>31025</v>
      </c>
      <c r="G1506" s="24">
        <f>'DDS Rates for Amend'!BX19</f>
        <v>624.48951024000007</v>
      </c>
      <c r="H1506" s="33">
        <f t="shared" si="871"/>
        <v>19374787.055196002</v>
      </c>
      <c r="I1506" s="688"/>
      <c r="J1506" s="205"/>
    </row>
    <row r="1507" spans="1:12" x14ac:dyDescent="0.25">
      <c r="A1507" s="21">
        <f>A$17</f>
        <v>1902</v>
      </c>
      <c r="B1507" s="149">
        <f t="shared" si="867"/>
        <v>1.6025641025641024E-2</v>
      </c>
      <c r="C1507" s="20">
        <f t="shared" si="868"/>
        <v>13</v>
      </c>
      <c r="D1507" s="21">
        <f>AX837</f>
        <v>86</v>
      </c>
      <c r="E1507" s="22">
        <f t="shared" si="869"/>
        <v>365</v>
      </c>
      <c r="F1507" s="21">
        <f t="shared" si="870"/>
        <v>31390</v>
      </c>
      <c r="G1507" s="24">
        <f>'DDS Rates for Amend'!BX20</f>
        <v>640.72623750624007</v>
      </c>
      <c r="H1507" s="33">
        <f t="shared" si="871"/>
        <v>20112396.595320877</v>
      </c>
      <c r="I1507" s="688"/>
      <c r="J1507" s="205"/>
    </row>
    <row r="1508" spans="1:12" x14ac:dyDescent="0.25">
      <c r="A1508" s="21">
        <f>A$18</f>
        <v>1932</v>
      </c>
      <c r="B1508" s="149">
        <f t="shared" si="867"/>
        <v>1.5772870662460567E-2</v>
      </c>
      <c r="C1508" s="20">
        <f t="shared" si="868"/>
        <v>14</v>
      </c>
      <c r="D1508" s="21">
        <f>BA837</f>
        <v>87</v>
      </c>
      <c r="E1508" s="22">
        <f t="shared" si="869"/>
        <v>365</v>
      </c>
      <c r="F1508" s="21">
        <f t="shared" si="870"/>
        <v>31755</v>
      </c>
      <c r="G1508" s="24">
        <f>'DDS Rates for Amend'!BX21</f>
        <v>657.38511968140233</v>
      </c>
      <c r="H1508" s="33">
        <f t="shared" si="871"/>
        <v>20875264.475482929</v>
      </c>
      <c r="I1508" s="688"/>
      <c r="J1508" s="205"/>
    </row>
    <row r="1509" spans="1:12" x14ac:dyDescent="0.25">
      <c r="A1509" s="21">
        <f>A$19</f>
        <v>1962</v>
      </c>
      <c r="B1509" s="149">
        <f t="shared" si="867"/>
        <v>1.5527950310559006E-2</v>
      </c>
      <c r="C1509" s="20">
        <f t="shared" si="868"/>
        <v>15</v>
      </c>
      <c r="D1509" s="21">
        <f>BD837</f>
        <v>89</v>
      </c>
      <c r="E1509" s="22">
        <f t="shared" si="869"/>
        <v>365</v>
      </c>
      <c r="F1509" s="21">
        <f t="shared" si="870"/>
        <v>32485</v>
      </c>
      <c r="G1509" s="24">
        <f>'DDS Rates for Amend'!BX22</f>
        <v>674.47713279311881</v>
      </c>
      <c r="H1509" s="33">
        <f t="shared" si="871"/>
        <v>21910389.658784464</v>
      </c>
      <c r="I1509" s="689"/>
      <c r="J1509" s="205"/>
      <c r="K1509" s="285">
        <f>SUM(H1495:H1509)</f>
        <v>146719297.09655911</v>
      </c>
      <c r="L1509" s="17">
        <f>IF(K1509='Appendix J-2'!CD82,0,error)</f>
        <v>0</v>
      </c>
    </row>
    <row r="1510" spans="1:12" x14ac:dyDescent="0.25">
      <c r="C1510"/>
      <c r="I1510" s="568"/>
      <c r="J1510"/>
    </row>
    <row r="1511" spans="1:12" x14ac:dyDescent="0.25">
      <c r="A1511" s="272" t="s">
        <v>368</v>
      </c>
      <c r="B1511" s="272"/>
      <c r="C1511" s="272"/>
      <c r="D1511" s="298" t="str">
        <f>'Appendix J-2'!B83</f>
        <v>Assistance</v>
      </c>
      <c r="E1511" s="292" t="str">
        <f>'Appendix J-2'!C83</f>
        <v>1 day</v>
      </c>
      <c r="F1511" s="690"/>
      <c r="G1511" s="690"/>
      <c r="H1511" s="690"/>
      <c r="I1511" s="687" t="s">
        <v>1119</v>
      </c>
      <c r="J1511" s="205"/>
    </row>
    <row r="1512" spans="1:12" x14ac:dyDescent="0.25">
      <c r="A1512" s="147" t="s">
        <v>26</v>
      </c>
      <c r="B1512" s="147" t="s">
        <v>27</v>
      </c>
      <c r="C1512" s="51" t="s">
        <v>166</v>
      </c>
      <c r="D1512" s="91" t="s">
        <v>154</v>
      </c>
      <c r="E1512" s="89" t="s">
        <v>155</v>
      </c>
      <c r="F1512" s="34" t="s">
        <v>158</v>
      </c>
      <c r="G1512" s="35" t="s">
        <v>156</v>
      </c>
      <c r="H1512" s="51" t="s">
        <v>157</v>
      </c>
      <c r="I1512" s="688"/>
      <c r="J1512" s="205"/>
    </row>
    <row r="1513" spans="1:12" x14ac:dyDescent="0.25">
      <c r="A1513" s="21">
        <f>A$5</f>
        <v>1182</v>
      </c>
      <c r="B1513" s="148"/>
      <c r="C1513" s="144">
        <v>1</v>
      </c>
      <c r="D1513" s="210">
        <f>'linked - DO NOT USE or DELETE'!D444</f>
        <v>0</v>
      </c>
      <c r="E1513" s="22">
        <f t="shared" ref="E1513:E1521" si="872">IF(F1513=0,0,F1513/D1513)</f>
        <v>0</v>
      </c>
      <c r="F1513" s="210">
        <f>'linked - DO NOT USE or DELETE'!F444</f>
        <v>0</v>
      </c>
      <c r="G1513" s="25" t="e">
        <f t="shared" ref="G1513:G1521" si="873">H1513/F1513</f>
        <v>#DIV/0!</v>
      </c>
      <c r="H1513" s="211">
        <f>'linked - DO NOT USE or DELETE'!H444</f>
        <v>0</v>
      </c>
      <c r="I1513" s="688"/>
      <c r="J1513" s="205"/>
    </row>
    <row r="1514" spans="1:12" x14ac:dyDescent="0.25">
      <c r="A1514" s="21">
        <f>A$6</f>
        <v>1288</v>
      </c>
      <c r="B1514" s="149">
        <f>(A1514-A1513)/A1513</f>
        <v>8.9678510998307953E-2</v>
      </c>
      <c r="C1514" s="52">
        <v>2</v>
      </c>
      <c r="D1514" s="210">
        <f>'linked - DO NOT USE or DELETE'!I444</f>
        <v>0</v>
      </c>
      <c r="E1514" s="22">
        <f t="shared" si="872"/>
        <v>0</v>
      </c>
      <c r="F1514" s="210">
        <f>'linked - DO NOT USE or DELETE'!K444</f>
        <v>0</v>
      </c>
      <c r="G1514" s="25" t="e">
        <f t="shared" si="873"/>
        <v>#DIV/0!</v>
      </c>
      <c r="H1514" s="211">
        <f>'linked - DO NOT USE or DELETE'!M444</f>
        <v>0</v>
      </c>
      <c r="I1514" s="688"/>
      <c r="J1514" s="205"/>
    </row>
    <row r="1515" spans="1:12" x14ac:dyDescent="0.25">
      <c r="A1515" s="21">
        <f>A$7</f>
        <v>1495</v>
      </c>
      <c r="B1515" s="149">
        <f t="shared" ref="B1515:B1527" si="874">(A1515-A1514)/A1514</f>
        <v>0.16071428571428573</v>
      </c>
      <c r="C1515" s="52">
        <v>3</v>
      </c>
      <c r="D1515" s="210">
        <f>'linked - DO NOT USE or DELETE'!N444</f>
        <v>0</v>
      </c>
      <c r="E1515" s="22">
        <f t="shared" si="872"/>
        <v>0</v>
      </c>
      <c r="F1515" s="210">
        <f>'linked - DO NOT USE or DELETE'!P444</f>
        <v>0</v>
      </c>
      <c r="G1515" s="25" t="e">
        <f t="shared" si="873"/>
        <v>#DIV/0!</v>
      </c>
      <c r="H1515" s="33">
        <f>'linked - DO NOT USE or DELETE'!R444</f>
        <v>0</v>
      </c>
      <c r="I1515" s="688"/>
      <c r="J1515" s="205"/>
    </row>
    <row r="1516" spans="1:12" x14ac:dyDescent="0.25">
      <c r="A1516" s="21">
        <f>A$8</f>
        <v>1484</v>
      </c>
      <c r="B1516" s="149">
        <f t="shared" si="874"/>
        <v>-7.3578595317725752E-3</v>
      </c>
      <c r="C1516" s="52">
        <f t="shared" ref="C1516:C1527" si="875">C1515+1</f>
        <v>4</v>
      </c>
      <c r="D1516" s="247">
        <f>'linked - DO NOT USE or DELETE'!S444</f>
        <v>0</v>
      </c>
      <c r="E1516" s="22">
        <f t="shared" si="872"/>
        <v>0</v>
      </c>
      <c r="F1516" s="247">
        <f>'linked - DO NOT USE or DELETE'!U444</f>
        <v>0</v>
      </c>
      <c r="G1516" s="25" t="e">
        <f t="shared" si="873"/>
        <v>#DIV/0!</v>
      </c>
      <c r="H1516" s="248">
        <f>'linked - DO NOT USE or DELETE'!W444</f>
        <v>0</v>
      </c>
      <c r="I1516" s="688"/>
      <c r="J1516" s="205"/>
    </row>
    <row r="1517" spans="1:12" x14ac:dyDescent="0.25">
      <c r="A1517" s="21">
        <f>A$9</f>
        <v>1528</v>
      </c>
      <c r="B1517" s="149">
        <f t="shared" si="874"/>
        <v>2.9649595687331536E-2</v>
      </c>
      <c r="C1517" s="52">
        <f t="shared" si="875"/>
        <v>5</v>
      </c>
      <c r="D1517" s="249">
        <v>0</v>
      </c>
      <c r="E1517" s="22">
        <f t="shared" si="872"/>
        <v>0</v>
      </c>
      <c r="F1517" s="249">
        <v>0</v>
      </c>
      <c r="G1517" s="25" t="e">
        <f t="shared" si="873"/>
        <v>#DIV/0!</v>
      </c>
      <c r="H1517" s="248">
        <v>0</v>
      </c>
      <c r="I1517" s="688"/>
      <c r="J1517" s="205"/>
    </row>
    <row r="1518" spans="1:12" x14ac:dyDescent="0.25">
      <c r="A1518" s="21">
        <f>A$10</f>
        <v>1592</v>
      </c>
      <c r="B1518" s="149">
        <f t="shared" si="874"/>
        <v>4.1884816753926704E-2</v>
      </c>
      <c r="C1518" s="52">
        <f t="shared" si="875"/>
        <v>6</v>
      </c>
      <c r="D1518" s="249">
        <f>'Appendix J-2'!AC83</f>
        <v>0</v>
      </c>
      <c r="E1518" s="22">
        <f t="shared" si="872"/>
        <v>0</v>
      </c>
      <c r="F1518" s="249">
        <f>'Appendix J-2'!AE83</f>
        <v>0</v>
      </c>
      <c r="G1518" s="25" t="e">
        <f t="shared" si="873"/>
        <v>#DIV/0!</v>
      </c>
      <c r="H1518" s="248">
        <f>'Appendix J-2'!AG83</f>
        <v>0</v>
      </c>
      <c r="I1518" s="688"/>
      <c r="J1518" s="205"/>
    </row>
    <row r="1519" spans="1:12" x14ac:dyDescent="0.25">
      <c r="A1519" s="21">
        <f>A$11</f>
        <v>1642</v>
      </c>
      <c r="B1519" s="149">
        <f t="shared" si="874"/>
        <v>3.1407035175879394E-2</v>
      </c>
      <c r="C1519" s="20">
        <f t="shared" si="875"/>
        <v>7</v>
      </c>
      <c r="D1519" s="249">
        <f>'Appendix J-2'!AH83</f>
        <v>2</v>
      </c>
      <c r="E1519" s="22">
        <f t="shared" si="872"/>
        <v>132.5</v>
      </c>
      <c r="F1519" s="249">
        <f>'Appendix J-2'!AJ83</f>
        <v>265</v>
      </c>
      <c r="G1519" s="25">
        <f t="shared" si="873"/>
        <v>554.26849056603771</v>
      </c>
      <c r="H1519" s="248">
        <f>'Appendix J-2'!AL83</f>
        <v>146881.15</v>
      </c>
      <c r="I1519" s="688"/>
      <c r="J1519" s="205"/>
    </row>
    <row r="1520" spans="1:12" x14ac:dyDescent="0.25">
      <c r="A1520" s="21">
        <f>A$12</f>
        <v>1675</v>
      </c>
      <c r="B1520" s="149">
        <f t="shared" si="874"/>
        <v>2.0097442143727162E-2</v>
      </c>
      <c r="C1520" s="20">
        <f t="shared" si="875"/>
        <v>8</v>
      </c>
      <c r="D1520" s="249">
        <f>'Appendix J-2'!AM83</f>
        <v>1</v>
      </c>
      <c r="E1520" s="22">
        <f t="shared" si="872"/>
        <v>146</v>
      </c>
      <c r="F1520" s="249">
        <f>'Appendix J-2'!AO83</f>
        <v>146</v>
      </c>
      <c r="G1520" s="25">
        <f t="shared" si="873"/>
        <v>583.44890410958897</v>
      </c>
      <c r="H1520" s="248">
        <f>'Appendix J-2'!AQ83</f>
        <v>85183.54</v>
      </c>
      <c r="I1520" s="688"/>
      <c r="J1520" s="205"/>
    </row>
    <row r="1521" spans="1:12" x14ac:dyDescent="0.25">
      <c r="A1521" s="21">
        <f>A$13</f>
        <v>1739</v>
      </c>
      <c r="B1521" s="149">
        <f t="shared" si="874"/>
        <v>3.8208955223880597E-2</v>
      </c>
      <c r="C1521" s="20">
        <f t="shared" si="875"/>
        <v>9</v>
      </c>
      <c r="D1521" s="249">
        <f>'Appendix J-2'!AR83</f>
        <v>0</v>
      </c>
      <c r="E1521" s="22">
        <f t="shared" si="872"/>
        <v>0</v>
      </c>
      <c r="F1521" s="249">
        <f>'Appendix J-2'!AT83</f>
        <v>0</v>
      </c>
      <c r="G1521" s="25" t="e">
        <f t="shared" si="873"/>
        <v>#DIV/0!</v>
      </c>
      <c r="H1521" s="248">
        <f>'Appendix J-2'!AV83</f>
        <v>0</v>
      </c>
      <c r="I1521" s="688"/>
      <c r="J1521" s="205"/>
    </row>
    <row r="1522" spans="1:12" x14ac:dyDescent="0.25">
      <c r="A1522" s="21">
        <f>A$14</f>
        <v>1752</v>
      </c>
      <c r="B1522" s="149">
        <f t="shared" si="874"/>
        <v>7.4755606670500289E-3</v>
      </c>
      <c r="C1522" s="20">
        <f t="shared" si="875"/>
        <v>10</v>
      </c>
      <c r="D1522" s="21">
        <f>D1520</f>
        <v>1</v>
      </c>
      <c r="E1522" s="22">
        <f>IF(TREND($E$1519:$E$1520,$C$1519:$C$1520,C1522)&lt;365,TREND($E$1519:$E$1520,$C$1519:$C$1520,C1522),365)</f>
        <v>173</v>
      </c>
      <c r="F1522" s="21">
        <f>D1522*E1522</f>
        <v>173</v>
      </c>
      <c r="G1522" s="24">
        <f>'DDS Rates for Amend'!BY17</f>
        <v>740.93</v>
      </c>
      <c r="H1522" s="33">
        <f>F1522*G1522</f>
        <v>128180.88999999998</v>
      </c>
      <c r="I1522" s="688"/>
      <c r="J1522" s="205"/>
    </row>
    <row r="1523" spans="1:12" x14ac:dyDescent="0.25">
      <c r="A1523" s="21">
        <f>A$15</f>
        <v>1822</v>
      </c>
      <c r="B1523" s="149">
        <f t="shared" si="874"/>
        <v>3.9954337899543377E-2</v>
      </c>
      <c r="C1523" s="20">
        <f t="shared" si="875"/>
        <v>11</v>
      </c>
      <c r="D1523" s="21">
        <f>D1522</f>
        <v>1</v>
      </c>
      <c r="E1523" s="22">
        <f t="shared" ref="E1523:E1527" si="876">IF(TREND($E$1519:$E$1520,$C$1519:$C$1520,C1523)&lt;365,TREND($E$1519:$E$1520,$C$1519:$C$1520,C1523),365)</f>
        <v>186.5</v>
      </c>
      <c r="F1523" s="21">
        <f t="shared" ref="F1523:F1527" si="877">D1523*E1523</f>
        <v>186.5</v>
      </c>
      <c r="G1523" s="24">
        <f>'DDS Rates for Amend'!BY18</f>
        <v>760.19417999999996</v>
      </c>
      <c r="H1523" s="33">
        <f t="shared" ref="H1523:H1527" si="878">F1523*G1523</f>
        <v>141776.21456999998</v>
      </c>
      <c r="I1523" s="688"/>
      <c r="J1523" s="205"/>
    </row>
    <row r="1524" spans="1:12" x14ac:dyDescent="0.25">
      <c r="A1524" s="21">
        <f>A$16</f>
        <v>1872</v>
      </c>
      <c r="B1524" s="149">
        <f t="shared" si="874"/>
        <v>2.7442371020856202E-2</v>
      </c>
      <c r="C1524" s="20">
        <f t="shared" si="875"/>
        <v>12</v>
      </c>
      <c r="D1524" s="21">
        <f t="shared" ref="D1524:D1527" si="879">D1523</f>
        <v>1</v>
      </c>
      <c r="E1524" s="22">
        <f t="shared" si="876"/>
        <v>200</v>
      </c>
      <c r="F1524" s="21">
        <f t="shared" si="877"/>
        <v>200</v>
      </c>
      <c r="G1524" s="24">
        <f>'DDS Rates for Amend'!BY19</f>
        <v>779.95922867999991</v>
      </c>
      <c r="H1524" s="33">
        <f t="shared" si="878"/>
        <v>155991.84573599999</v>
      </c>
      <c r="I1524" s="688"/>
      <c r="J1524" s="205"/>
    </row>
    <row r="1525" spans="1:12" x14ac:dyDescent="0.25">
      <c r="A1525" s="21">
        <f>A$17</f>
        <v>1902</v>
      </c>
      <c r="B1525" s="149">
        <f t="shared" si="874"/>
        <v>1.6025641025641024E-2</v>
      </c>
      <c r="C1525" s="20">
        <f t="shared" si="875"/>
        <v>13</v>
      </c>
      <c r="D1525" s="21">
        <f t="shared" si="879"/>
        <v>1</v>
      </c>
      <c r="E1525" s="22">
        <f t="shared" si="876"/>
        <v>213.5</v>
      </c>
      <c r="F1525" s="21">
        <f t="shared" si="877"/>
        <v>213.5</v>
      </c>
      <c r="G1525" s="24">
        <f>'DDS Rates for Amend'!BY20</f>
        <v>800.23816862567992</v>
      </c>
      <c r="H1525" s="33">
        <f t="shared" si="878"/>
        <v>170850.84900158265</v>
      </c>
      <c r="I1525" s="688"/>
      <c r="J1525" s="205"/>
    </row>
    <row r="1526" spans="1:12" x14ac:dyDescent="0.25">
      <c r="A1526" s="21">
        <f>A$18</f>
        <v>1932</v>
      </c>
      <c r="B1526" s="149">
        <f t="shared" si="874"/>
        <v>1.5772870662460567E-2</v>
      </c>
      <c r="C1526" s="20">
        <f t="shared" si="875"/>
        <v>14</v>
      </c>
      <c r="D1526" s="21">
        <f t="shared" si="879"/>
        <v>1</v>
      </c>
      <c r="E1526" s="22">
        <f t="shared" si="876"/>
        <v>227</v>
      </c>
      <c r="F1526" s="21">
        <f t="shared" si="877"/>
        <v>227</v>
      </c>
      <c r="G1526" s="24">
        <f>'DDS Rates for Amend'!BY21</f>
        <v>821.04436100994758</v>
      </c>
      <c r="H1526" s="33">
        <f t="shared" si="878"/>
        <v>186377.06994925809</v>
      </c>
      <c r="I1526" s="688"/>
      <c r="J1526" s="205"/>
    </row>
    <row r="1527" spans="1:12" x14ac:dyDescent="0.25">
      <c r="A1527" s="21">
        <f>A$19</f>
        <v>1962</v>
      </c>
      <c r="B1527" s="149">
        <f t="shared" si="874"/>
        <v>1.5527950310559006E-2</v>
      </c>
      <c r="C1527" s="20">
        <f t="shared" si="875"/>
        <v>15</v>
      </c>
      <c r="D1527" s="21">
        <f t="shared" si="879"/>
        <v>1</v>
      </c>
      <c r="E1527" s="22">
        <f t="shared" si="876"/>
        <v>240.5</v>
      </c>
      <c r="F1527" s="21">
        <f t="shared" si="877"/>
        <v>240.5</v>
      </c>
      <c r="G1527" s="24">
        <f>'DDS Rates for Amend'!BY22</f>
        <v>842.39151439620616</v>
      </c>
      <c r="H1527" s="33">
        <f t="shared" si="878"/>
        <v>202595.15921228757</v>
      </c>
      <c r="I1527" s="689"/>
      <c r="J1527" s="205"/>
      <c r="K1527" s="285">
        <f>SUM(H1513:H1527)</f>
        <v>1217836.7184691282</v>
      </c>
      <c r="L1527" s="17">
        <f>IF(K1527='Appendix J-2'!CD83,0,error)</f>
        <v>0</v>
      </c>
    </row>
    <row r="1528" spans="1:12" x14ac:dyDescent="0.25">
      <c r="C1528"/>
      <c r="I1528" s="568"/>
      <c r="J1528"/>
    </row>
    <row r="1529" spans="1:12" ht="15" customHeight="1" x14ac:dyDescent="0.25">
      <c r="A1529" s="272" t="s">
        <v>367</v>
      </c>
      <c r="B1529" s="272"/>
      <c r="C1529" s="272"/>
      <c r="D1529" s="298" t="str">
        <f>'Appendix J-2'!B84</f>
        <v>Assistance</v>
      </c>
      <c r="E1529" s="292" t="str">
        <f>'Appendix J-2'!C84</f>
        <v>1 day</v>
      </c>
      <c r="F1529" s="690"/>
      <c r="G1529" s="690"/>
      <c r="H1529" s="690"/>
      <c r="I1529" s="687" t="s">
        <v>1112</v>
      </c>
      <c r="J1529" s="205"/>
    </row>
    <row r="1530" spans="1:12" x14ac:dyDescent="0.25">
      <c r="A1530" s="147" t="s">
        <v>26</v>
      </c>
      <c r="B1530" s="147" t="s">
        <v>27</v>
      </c>
      <c r="C1530" s="51" t="s">
        <v>166</v>
      </c>
      <c r="D1530" s="91" t="s">
        <v>154</v>
      </c>
      <c r="E1530" s="89" t="s">
        <v>155</v>
      </c>
      <c r="F1530" s="34" t="s">
        <v>158</v>
      </c>
      <c r="G1530" s="35" t="s">
        <v>156</v>
      </c>
      <c r="H1530" s="51" t="s">
        <v>157</v>
      </c>
      <c r="I1530" s="688"/>
      <c r="J1530" s="205"/>
    </row>
    <row r="1531" spans="1:12" x14ac:dyDescent="0.25">
      <c r="A1531" s="21">
        <f>A$5</f>
        <v>1182</v>
      </c>
      <c r="B1531" s="148"/>
      <c r="C1531" s="144">
        <v>1</v>
      </c>
      <c r="D1531" s="210">
        <f>'linked - DO NOT USE or DELETE'!D445</f>
        <v>0</v>
      </c>
      <c r="E1531" s="22">
        <f t="shared" ref="E1531:E1539" si="880">IF(F1531=0,0,F1531/D1531)</f>
        <v>0</v>
      </c>
      <c r="F1531" s="210">
        <f>'linked - DO NOT USE or DELETE'!F445</f>
        <v>0</v>
      </c>
      <c r="G1531" s="25" t="e">
        <f t="shared" ref="G1531:G1539" si="881">H1531/F1531</f>
        <v>#DIV/0!</v>
      </c>
      <c r="H1531" s="211">
        <f>'linked - DO NOT USE or DELETE'!H445</f>
        <v>0</v>
      </c>
      <c r="I1531" s="688"/>
      <c r="J1531" s="205"/>
    </row>
    <row r="1532" spans="1:12" x14ac:dyDescent="0.25">
      <c r="A1532" s="21">
        <f>A$6</f>
        <v>1288</v>
      </c>
      <c r="B1532" s="149">
        <f>(A1532-A1531)/A1531</f>
        <v>8.9678510998307953E-2</v>
      </c>
      <c r="C1532" s="52">
        <v>2</v>
      </c>
      <c r="D1532" s="210">
        <f>'linked - DO NOT USE or DELETE'!I445</f>
        <v>0</v>
      </c>
      <c r="E1532" s="22">
        <f t="shared" si="880"/>
        <v>0</v>
      </c>
      <c r="F1532" s="210">
        <f>'linked - DO NOT USE or DELETE'!K445</f>
        <v>0</v>
      </c>
      <c r="G1532" s="25" t="e">
        <f t="shared" si="881"/>
        <v>#DIV/0!</v>
      </c>
      <c r="H1532" s="211">
        <f>'linked - DO NOT USE or DELETE'!M445</f>
        <v>0</v>
      </c>
      <c r="I1532" s="688"/>
      <c r="J1532" s="205"/>
    </row>
    <row r="1533" spans="1:12" x14ac:dyDescent="0.25">
      <c r="A1533" s="21">
        <f>A$7</f>
        <v>1495</v>
      </c>
      <c r="B1533" s="149">
        <f t="shared" ref="B1533:B1545" si="882">(A1533-A1532)/A1532</f>
        <v>0.16071428571428573</v>
      </c>
      <c r="C1533" s="52">
        <v>3</v>
      </c>
      <c r="D1533" s="210">
        <f>'linked - DO NOT USE or DELETE'!N445</f>
        <v>0</v>
      </c>
      <c r="E1533" s="22">
        <f t="shared" si="880"/>
        <v>0</v>
      </c>
      <c r="F1533" s="210">
        <f>'linked - DO NOT USE or DELETE'!P445</f>
        <v>0</v>
      </c>
      <c r="G1533" s="25" t="e">
        <f t="shared" si="881"/>
        <v>#DIV/0!</v>
      </c>
      <c r="H1533" s="33">
        <f>'linked - DO NOT USE or DELETE'!R445</f>
        <v>0</v>
      </c>
      <c r="I1533" s="688"/>
      <c r="J1533" s="205"/>
    </row>
    <row r="1534" spans="1:12" x14ac:dyDescent="0.25">
      <c r="A1534" s="21">
        <f>A$8</f>
        <v>1484</v>
      </c>
      <c r="B1534" s="149">
        <f t="shared" si="882"/>
        <v>-7.3578595317725752E-3</v>
      </c>
      <c r="C1534" s="52">
        <f t="shared" ref="C1534:C1545" si="883">C1533+1</f>
        <v>4</v>
      </c>
      <c r="D1534" s="247">
        <f>'Appendix J-2'!S84</f>
        <v>0</v>
      </c>
      <c r="E1534" s="22">
        <f t="shared" si="880"/>
        <v>0</v>
      </c>
      <c r="F1534" s="247">
        <f>'Appendix J-2'!U84</f>
        <v>0</v>
      </c>
      <c r="G1534" s="25" t="e">
        <f t="shared" si="881"/>
        <v>#DIV/0!</v>
      </c>
      <c r="H1534" s="248">
        <f>'Appendix J-2'!W84</f>
        <v>0</v>
      </c>
      <c r="I1534" s="688"/>
      <c r="J1534" s="205"/>
    </row>
    <row r="1535" spans="1:12" x14ac:dyDescent="0.25">
      <c r="A1535" s="21">
        <f>A$9</f>
        <v>1528</v>
      </c>
      <c r="B1535" s="149">
        <f t="shared" si="882"/>
        <v>2.9649595687331536E-2</v>
      </c>
      <c r="C1535" s="52">
        <f t="shared" si="883"/>
        <v>5</v>
      </c>
      <c r="D1535" s="249">
        <f>'Appendix J-2'!X84</f>
        <v>0</v>
      </c>
      <c r="E1535" s="22">
        <f t="shared" si="880"/>
        <v>0</v>
      </c>
      <c r="F1535" s="249">
        <f>'Appendix J-2'!Z84</f>
        <v>0</v>
      </c>
      <c r="G1535" s="25" t="e">
        <f t="shared" si="881"/>
        <v>#DIV/0!</v>
      </c>
      <c r="H1535" s="248">
        <f>'Appendix J-2'!AB84</f>
        <v>0</v>
      </c>
      <c r="I1535" s="688"/>
      <c r="J1535" s="205"/>
    </row>
    <row r="1536" spans="1:12" x14ac:dyDescent="0.25">
      <c r="A1536" s="21">
        <f>A$10</f>
        <v>1592</v>
      </c>
      <c r="B1536" s="149">
        <f t="shared" si="882"/>
        <v>4.1884816753926704E-2</v>
      </c>
      <c r="C1536" s="52">
        <f t="shared" si="883"/>
        <v>6</v>
      </c>
      <c r="D1536" s="249">
        <f>'Appendix J-2'!AC84</f>
        <v>0</v>
      </c>
      <c r="E1536" s="22">
        <f t="shared" si="880"/>
        <v>0</v>
      </c>
      <c r="F1536" s="249">
        <f>'Appendix J-2'!AE84</f>
        <v>0</v>
      </c>
      <c r="G1536" s="25" t="e">
        <f t="shared" si="881"/>
        <v>#DIV/0!</v>
      </c>
      <c r="H1536" s="248">
        <f>'Appendix J-2'!AG84</f>
        <v>0</v>
      </c>
      <c r="I1536" s="688"/>
      <c r="J1536" s="205"/>
    </row>
    <row r="1537" spans="1:12" x14ac:dyDescent="0.25">
      <c r="A1537" s="21">
        <f>A$11</f>
        <v>1642</v>
      </c>
      <c r="B1537" s="149">
        <f t="shared" si="882"/>
        <v>3.1407035175879394E-2</v>
      </c>
      <c r="C1537" s="20">
        <f t="shared" si="883"/>
        <v>7</v>
      </c>
      <c r="D1537" s="249">
        <f>'Appendix J-2'!AH84</f>
        <v>13</v>
      </c>
      <c r="E1537" s="22">
        <f t="shared" si="880"/>
        <v>54.384615384615387</v>
      </c>
      <c r="F1537" s="249">
        <f>'Appendix J-2'!AJ84</f>
        <v>707</v>
      </c>
      <c r="G1537" s="25">
        <f t="shared" si="881"/>
        <v>616.39454031117396</v>
      </c>
      <c r="H1537" s="248">
        <f>'Appendix J-2'!AL84</f>
        <v>435790.94</v>
      </c>
      <c r="I1537" s="688"/>
      <c r="J1537" s="205"/>
    </row>
    <row r="1538" spans="1:12" x14ac:dyDescent="0.25">
      <c r="A1538" s="21">
        <f>A$12</f>
        <v>1675</v>
      </c>
      <c r="B1538" s="149">
        <f t="shared" si="882"/>
        <v>2.0097442143727162E-2</v>
      </c>
      <c r="C1538" s="20">
        <f t="shared" si="883"/>
        <v>8</v>
      </c>
      <c r="D1538" s="249">
        <f>'Appendix J-2'!AM84</f>
        <v>22</v>
      </c>
      <c r="E1538" s="22">
        <f t="shared" si="880"/>
        <v>222.72727272727272</v>
      </c>
      <c r="F1538" s="249">
        <f>'Appendix J-2'!AO84</f>
        <v>4900</v>
      </c>
      <c r="G1538" s="25">
        <f t="shared" si="881"/>
        <v>643.02719999999999</v>
      </c>
      <c r="H1538" s="248">
        <f>'Appendix J-2'!AQ84</f>
        <v>3150833.28</v>
      </c>
      <c r="I1538" s="688"/>
      <c r="J1538" s="205"/>
    </row>
    <row r="1539" spans="1:12" x14ac:dyDescent="0.25">
      <c r="A1539" s="21">
        <f>A$13</f>
        <v>1739</v>
      </c>
      <c r="B1539" s="149">
        <f t="shared" si="882"/>
        <v>3.8208955223880597E-2</v>
      </c>
      <c r="C1539" s="20">
        <f t="shared" si="883"/>
        <v>9</v>
      </c>
      <c r="D1539" s="249">
        <f>'Appendix J-2'!AR84</f>
        <v>28</v>
      </c>
      <c r="E1539" s="22">
        <f t="shared" si="880"/>
        <v>237.53571428571428</v>
      </c>
      <c r="F1539" s="249">
        <f>'Appendix J-2'!AT84</f>
        <v>6651</v>
      </c>
      <c r="G1539" s="25">
        <f t="shared" si="881"/>
        <v>675.78135017290629</v>
      </c>
      <c r="H1539" s="248">
        <f>'Appendix J-2'!AV84</f>
        <v>4494621.76</v>
      </c>
      <c r="I1539" s="688"/>
      <c r="J1539" s="205"/>
    </row>
    <row r="1540" spans="1:12" x14ac:dyDescent="0.25">
      <c r="A1540" s="21">
        <f>A$14</f>
        <v>1752</v>
      </c>
      <c r="B1540" s="149">
        <f t="shared" si="882"/>
        <v>7.4755606670500289E-3</v>
      </c>
      <c r="C1540" s="20">
        <f t="shared" si="883"/>
        <v>10</v>
      </c>
      <c r="D1540" s="21">
        <f>AN838</f>
        <v>38</v>
      </c>
      <c r="E1540" s="22">
        <f>IF(TREND($E$1537:$E$1539,$C$1537:$C$1539,C1540)&lt;365,TREND($E$1537:$E$1539,$C$1537:$C$1539,C1540),365)</f>
        <v>354.70029970029964</v>
      </c>
      <c r="F1540" s="21">
        <f t="shared" ref="F1540" si="884">D1540*E1540</f>
        <v>13478.611388611385</v>
      </c>
      <c r="G1540" s="24">
        <f>'DDS Rates for Amend'!BZ17</f>
        <v>760.15</v>
      </c>
      <c r="H1540" s="33">
        <f t="shared" ref="H1540" si="885">F1540*G1540</f>
        <v>10245766.447052944</v>
      </c>
      <c r="I1540" s="688"/>
      <c r="J1540" s="205"/>
    </row>
    <row r="1541" spans="1:12" x14ac:dyDescent="0.25">
      <c r="A1541" s="21">
        <f>A$15</f>
        <v>1822</v>
      </c>
      <c r="B1541" s="149">
        <f t="shared" si="882"/>
        <v>3.9954337899543377E-2</v>
      </c>
      <c r="C1541" s="20">
        <f t="shared" si="883"/>
        <v>11</v>
      </c>
      <c r="D1541" s="21">
        <f>AR838</f>
        <v>20</v>
      </c>
      <c r="E1541" s="22">
        <f t="shared" ref="E1541:E1545" si="886">IF(TREND($E$1537:$E$1539,$C$1537:$C$1539,C1541)&lt;365,TREND($E$1537:$E$1539,$C$1537:$C$1539,C1541),365)</f>
        <v>365</v>
      </c>
      <c r="F1541" s="21">
        <f t="shared" ref="F1541:F1545" si="887">D1541*E1541</f>
        <v>7300</v>
      </c>
      <c r="G1541" s="24">
        <f>'DDS Rates for Amend'!BZ18</f>
        <v>779.91390000000001</v>
      </c>
      <c r="H1541" s="33">
        <f t="shared" ref="H1541:H1545" si="888">F1541*G1541</f>
        <v>5693371.4699999997</v>
      </c>
      <c r="I1541" s="688"/>
      <c r="J1541" s="205"/>
    </row>
    <row r="1542" spans="1:12" x14ac:dyDescent="0.25">
      <c r="A1542" s="21">
        <f>A$16</f>
        <v>1872</v>
      </c>
      <c r="B1542" s="149">
        <f t="shared" si="882"/>
        <v>2.7442371020856202E-2</v>
      </c>
      <c r="C1542" s="20">
        <f t="shared" si="883"/>
        <v>12</v>
      </c>
      <c r="D1542" s="21">
        <f>AU838</f>
        <v>21</v>
      </c>
      <c r="E1542" s="22">
        <f t="shared" si="886"/>
        <v>365</v>
      </c>
      <c r="F1542" s="21">
        <f t="shared" si="887"/>
        <v>7665</v>
      </c>
      <c r="G1542" s="24">
        <f>'DDS Rates for Amend'!BZ19</f>
        <v>800.19166140000004</v>
      </c>
      <c r="H1542" s="33">
        <f t="shared" si="888"/>
        <v>6133469.0846310006</v>
      </c>
      <c r="I1542" s="688"/>
      <c r="J1542" s="205"/>
    </row>
    <row r="1543" spans="1:12" x14ac:dyDescent="0.25">
      <c r="A1543" s="21">
        <f>A$17</f>
        <v>1902</v>
      </c>
      <c r="B1543" s="149">
        <f t="shared" si="882"/>
        <v>1.6025641025641024E-2</v>
      </c>
      <c r="C1543" s="20">
        <f t="shared" si="883"/>
        <v>13</v>
      </c>
      <c r="D1543" s="21">
        <f>AX838</f>
        <v>21</v>
      </c>
      <c r="E1543" s="22">
        <f t="shared" si="886"/>
        <v>365</v>
      </c>
      <c r="F1543" s="21">
        <f t="shared" si="887"/>
        <v>7665</v>
      </c>
      <c r="G1543" s="24">
        <f>'DDS Rates for Amend'!BZ20</f>
        <v>820.99664459640007</v>
      </c>
      <c r="H1543" s="33">
        <f t="shared" si="888"/>
        <v>6292939.2808314068</v>
      </c>
      <c r="I1543" s="688"/>
      <c r="J1543" s="205"/>
    </row>
    <row r="1544" spans="1:12" x14ac:dyDescent="0.25">
      <c r="A1544" s="21">
        <f>A$18</f>
        <v>1932</v>
      </c>
      <c r="B1544" s="149">
        <f t="shared" si="882"/>
        <v>1.5772870662460567E-2</v>
      </c>
      <c r="C1544" s="20">
        <f t="shared" si="883"/>
        <v>14</v>
      </c>
      <c r="D1544" s="21">
        <f>BA838</f>
        <v>22</v>
      </c>
      <c r="E1544" s="22">
        <f t="shared" si="886"/>
        <v>365</v>
      </c>
      <c r="F1544" s="21">
        <f t="shared" si="887"/>
        <v>8030</v>
      </c>
      <c r="G1544" s="24">
        <f>'DDS Rates for Amend'!BZ21</f>
        <v>842.34255735590648</v>
      </c>
      <c r="H1544" s="33">
        <f t="shared" si="888"/>
        <v>6764010.7355679292</v>
      </c>
      <c r="I1544" s="688"/>
      <c r="J1544" s="205"/>
    </row>
    <row r="1545" spans="1:12" x14ac:dyDescent="0.25">
      <c r="A1545" s="21">
        <f>A$19</f>
        <v>1962</v>
      </c>
      <c r="B1545" s="149">
        <f t="shared" si="882"/>
        <v>1.5527950310559006E-2</v>
      </c>
      <c r="C1545" s="20">
        <f t="shared" si="883"/>
        <v>15</v>
      </c>
      <c r="D1545" s="21">
        <f>BD838</f>
        <v>22</v>
      </c>
      <c r="E1545" s="22">
        <f t="shared" si="886"/>
        <v>365</v>
      </c>
      <c r="F1545" s="21">
        <f t="shared" si="887"/>
        <v>8030</v>
      </c>
      <c r="G1545" s="24">
        <f>'DDS Rates for Amend'!BZ22</f>
        <v>864.24346384716</v>
      </c>
      <c r="H1545" s="33">
        <f t="shared" si="888"/>
        <v>6939875.0146926949</v>
      </c>
      <c r="I1545" s="689"/>
      <c r="J1545" s="205"/>
      <c r="K1545" s="285">
        <f>SUM(H1531:H1545)</f>
        <v>50150678.012775972</v>
      </c>
      <c r="L1545" s="17">
        <f>IF(K1545='Appendix J-2'!CD84,0,error)</f>
        <v>0</v>
      </c>
    </row>
    <row r="1546" spans="1:12" x14ac:dyDescent="0.25">
      <c r="C1546"/>
      <c r="I1546" s="568"/>
      <c r="J1546"/>
    </row>
    <row r="1547" spans="1:12" x14ac:dyDescent="0.25">
      <c r="A1547" s="271" t="s">
        <v>40</v>
      </c>
      <c r="B1547" s="272"/>
      <c r="C1547" s="272"/>
      <c r="D1547" s="298" t="str">
        <f>'Appendix J-2'!B70</f>
        <v>Assistance</v>
      </c>
      <c r="E1547" s="292" t="str">
        <f>'Appendix J-2'!C70</f>
        <v>15 minutes</v>
      </c>
      <c r="F1547" s="690"/>
      <c r="G1547" s="690"/>
      <c r="H1547" s="690"/>
      <c r="I1547" s="687" t="s">
        <v>1120</v>
      </c>
      <c r="J1547" s="205"/>
    </row>
    <row r="1548" spans="1:12" x14ac:dyDescent="0.25">
      <c r="A1548" s="147" t="s">
        <v>26</v>
      </c>
      <c r="B1548" s="147" t="s">
        <v>27</v>
      </c>
      <c r="C1548" s="51" t="s">
        <v>166</v>
      </c>
      <c r="D1548" s="91" t="s">
        <v>154</v>
      </c>
      <c r="E1548" s="89" t="s">
        <v>155</v>
      </c>
      <c r="F1548" s="34" t="s">
        <v>158</v>
      </c>
      <c r="G1548" s="35" t="s">
        <v>156</v>
      </c>
      <c r="H1548" s="51" t="s">
        <v>157</v>
      </c>
      <c r="I1548" s="688"/>
      <c r="J1548" s="205"/>
    </row>
    <row r="1549" spans="1:12" x14ac:dyDescent="0.25">
      <c r="A1549" s="21">
        <f>A$5</f>
        <v>1182</v>
      </c>
      <c r="B1549" s="148"/>
      <c r="C1549" s="144">
        <v>1</v>
      </c>
      <c r="D1549" s="210">
        <f>'linked - DO NOT USE or DELETE'!D446</f>
        <v>0</v>
      </c>
      <c r="E1549" s="22">
        <f>IF(F1549=0,0,F1549/D1549)</f>
        <v>0</v>
      </c>
      <c r="F1549" s="210">
        <f>'linked - DO NOT USE or DELETE'!F446</f>
        <v>0</v>
      </c>
      <c r="G1549" s="25" t="e">
        <f t="shared" ref="G1549:G1557" si="889">H1549/F1549</f>
        <v>#DIV/0!</v>
      </c>
      <c r="H1549" s="211">
        <f>'linked - DO NOT USE or DELETE'!H446</f>
        <v>0</v>
      </c>
      <c r="I1549" s="688"/>
      <c r="J1549" s="205"/>
    </row>
    <row r="1550" spans="1:12" x14ac:dyDescent="0.25">
      <c r="A1550" s="21">
        <f>A$6</f>
        <v>1288</v>
      </c>
      <c r="B1550" s="149">
        <f>(A1550-A1549)/A1549</f>
        <v>8.9678510998307953E-2</v>
      </c>
      <c r="C1550" s="52">
        <v>2</v>
      </c>
      <c r="D1550" s="210">
        <f>'linked - DO NOT USE or DELETE'!I446</f>
        <v>0</v>
      </c>
      <c r="E1550" s="22">
        <f t="shared" ref="E1550:E1557" si="890">IF(F1550=0,0,F1550/D1550)</f>
        <v>0</v>
      </c>
      <c r="F1550" s="210">
        <f>'linked - DO NOT USE or DELETE'!K446</f>
        <v>0</v>
      </c>
      <c r="G1550" s="25" t="e">
        <f t="shared" si="889"/>
        <v>#DIV/0!</v>
      </c>
      <c r="H1550" s="211">
        <f>'linked - DO NOT USE or DELETE'!M446</f>
        <v>0</v>
      </c>
      <c r="I1550" s="688"/>
      <c r="J1550" s="205"/>
    </row>
    <row r="1551" spans="1:12" x14ac:dyDescent="0.25">
      <c r="A1551" s="21">
        <f>A$7</f>
        <v>1495</v>
      </c>
      <c r="B1551" s="149">
        <f t="shared" ref="B1551:B1563" si="891">(A1551-A1550)/A1550</f>
        <v>0.16071428571428573</v>
      </c>
      <c r="C1551" s="52">
        <v>3</v>
      </c>
      <c r="D1551" s="210">
        <f>'linked - DO NOT USE or DELETE'!N446</f>
        <v>0</v>
      </c>
      <c r="E1551" s="22">
        <f t="shared" si="890"/>
        <v>0</v>
      </c>
      <c r="F1551" s="210">
        <f>'linked - DO NOT USE or DELETE'!P446</f>
        <v>0</v>
      </c>
      <c r="G1551" s="25" t="e">
        <f t="shared" si="889"/>
        <v>#DIV/0!</v>
      </c>
      <c r="H1551" s="33">
        <f>'linked - DO NOT USE or DELETE'!R446</f>
        <v>0</v>
      </c>
      <c r="I1551" s="688"/>
      <c r="J1551" s="205"/>
    </row>
    <row r="1552" spans="1:12" x14ac:dyDescent="0.25">
      <c r="A1552" s="21">
        <f>A$8</f>
        <v>1484</v>
      </c>
      <c r="B1552" s="149">
        <f t="shared" si="891"/>
        <v>-7.3578595317725752E-3</v>
      </c>
      <c r="C1552" s="52">
        <f t="shared" ref="C1552:C1563" si="892">C1551+1</f>
        <v>4</v>
      </c>
      <c r="D1552" s="247">
        <f>'Appendix J-2'!S70</f>
        <v>0</v>
      </c>
      <c r="E1552" s="22">
        <f t="shared" si="890"/>
        <v>0</v>
      </c>
      <c r="F1552" s="247">
        <f>'Appendix J-2'!U70</f>
        <v>0</v>
      </c>
      <c r="G1552" s="25" t="e">
        <f t="shared" si="889"/>
        <v>#DIV/0!</v>
      </c>
      <c r="H1552" s="248">
        <f>'Appendix J-2'!W70</f>
        <v>0</v>
      </c>
      <c r="I1552" s="688"/>
      <c r="J1552" s="205"/>
    </row>
    <row r="1553" spans="1:12" x14ac:dyDescent="0.25">
      <c r="A1553" s="21">
        <f>A$9</f>
        <v>1528</v>
      </c>
      <c r="B1553" s="149">
        <f t="shared" si="891"/>
        <v>2.9649595687331536E-2</v>
      </c>
      <c r="C1553" s="52">
        <f t="shared" si="892"/>
        <v>5</v>
      </c>
      <c r="D1553" s="249">
        <f>'Appendix J-2'!X70</f>
        <v>0</v>
      </c>
      <c r="E1553" s="22">
        <f t="shared" si="890"/>
        <v>0</v>
      </c>
      <c r="F1553" s="249">
        <f>'Appendix J-2'!Z70</f>
        <v>0</v>
      </c>
      <c r="G1553" s="25" t="e">
        <f t="shared" si="889"/>
        <v>#DIV/0!</v>
      </c>
      <c r="H1553" s="248">
        <f>'Appendix J-2'!AB70</f>
        <v>0</v>
      </c>
      <c r="I1553" s="688"/>
      <c r="J1553" s="205"/>
    </row>
    <row r="1554" spans="1:12" x14ac:dyDescent="0.25">
      <c r="A1554" s="21">
        <f>A$10</f>
        <v>1592</v>
      </c>
      <c r="B1554" s="149">
        <f t="shared" si="891"/>
        <v>4.1884816753926704E-2</v>
      </c>
      <c r="C1554" s="52">
        <f t="shared" si="892"/>
        <v>6</v>
      </c>
      <c r="D1554" s="249">
        <f>'Appendix J-2'!AC70</f>
        <v>0</v>
      </c>
      <c r="E1554" s="22">
        <f t="shared" si="890"/>
        <v>0</v>
      </c>
      <c r="F1554" s="249">
        <f>'Appendix J-2'!AE70</f>
        <v>0</v>
      </c>
      <c r="G1554" s="25" t="e">
        <f t="shared" si="889"/>
        <v>#DIV/0!</v>
      </c>
      <c r="H1554" s="248">
        <f>'Appendix J-2'!AG70</f>
        <v>0</v>
      </c>
      <c r="I1554" s="688"/>
      <c r="J1554" s="205"/>
    </row>
    <row r="1555" spans="1:12" x14ac:dyDescent="0.25">
      <c r="A1555" s="21">
        <f>A$11</f>
        <v>1642</v>
      </c>
      <c r="B1555" s="149">
        <f t="shared" si="891"/>
        <v>3.1407035175879394E-2</v>
      </c>
      <c r="C1555" s="20">
        <f t="shared" si="892"/>
        <v>7</v>
      </c>
      <c r="D1555" s="249">
        <f>'Appendix J-2'!AH70</f>
        <v>25</v>
      </c>
      <c r="E1555" s="22">
        <f t="shared" si="890"/>
        <v>3366.64</v>
      </c>
      <c r="F1555" s="249">
        <f>'Appendix J-2'!AJ70</f>
        <v>84166</v>
      </c>
      <c r="G1555" s="25">
        <f t="shared" si="889"/>
        <v>6.3308240857353324</v>
      </c>
      <c r="H1555" s="248">
        <f>'Appendix J-2'!AL70</f>
        <v>532840.14</v>
      </c>
      <c r="I1555" s="688"/>
      <c r="J1555" s="205"/>
    </row>
    <row r="1556" spans="1:12" x14ac:dyDescent="0.25">
      <c r="A1556" s="21">
        <f>A$12</f>
        <v>1675</v>
      </c>
      <c r="B1556" s="149">
        <f t="shared" si="891"/>
        <v>2.0097442143727162E-2</v>
      </c>
      <c r="C1556" s="20">
        <f t="shared" si="892"/>
        <v>8</v>
      </c>
      <c r="D1556" s="249">
        <f>'Appendix J-2'!AM70</f>
        <v>35</v>
      </c>
      <c r="E1556" s="22">
        <f t="shared" si="890"/>
        <v>9419.1142857142859</v>
      </c>
      <c r="F1556" s="249">
        <f>'Appendix J-2'!AO70</f>
        <v>329669</v>
      </c>
      <c r="G1556" s="25">
        <f t="shared" si="889"/>
        <v>6.5817860945372475</v>
      </c>
      <c r="H1556" s="248">
        <f>'Appendix J-2'!AQ70</f>
        <v>2169810.84</v>
      </c>
      <c r="I1556" s="688"/>
      <c r="J1556" s="205"/>
    </row>
    <row r="1557" spans="1:12" x14ac:dyDescent="0.25">
      <c r="A1557" s="21">
        <f>A$13</f>
        <v>1739</v>
      </c>
      <c r="B1557" s="149">
        <f t="shared" si="891"/>
        <v>3.8208955223880597E-2</v>
      </c>
      <c r="C1557" s="20">
        <f t="shared" si="892"/>
        <v>9</v>
      </c>
      <c r="D1557" s="249">
        <f>'Appendix J-2'!AR70</f>
        <v>47</v>
      </c>
      <c r="E1557" s="22">
        <f t="shared" si="890"/>
        <v>9380.1489361702133</v>
      </c>
      <c r="F1557" s="249">
        <f>'Appendix J-2'!AT70</f>
        <v>440867</v>
      </c>
      <c r="G1557" s="25">
        <f t="shared" si="889"/>
        <v>6.6215422338256209</v>
      </c>
      <c r="H1557" s="248">
        <f>'Appendix J-2'!AV70</f>
        <v>2919219.46</v>
      </c>
      <c r="I1557" s="688"/>
      <c r="J1557" s="205"/>
    </row>
    <row r="1558" spans="1:12" x14ac:dyDescent="0.25">
      <c r="A1558" s="21">
        <f>A$14</f>
        <v>1752</v>
      </c>
      <c r="B1558" s="149">
        <f t="shared" si="891"/>
        <v>7.4755606670500289E-3</v>
      </c>
      <c r="C1558" s="20">
        <f t="shared" si="892"/>
        <v>10</v>
      </c>
      <c r="D1558" s="21">
        <f>AO841</f>
        <v>33</v>
      </c>
      <c r="E1558" s="22">
        <f>IF(TREND($E$1555:$E$1557,$C$1555:$C$1557,C1558)&lt;23360,TREND($E$1555:$E$1557,$C$1555:$C$1557,C1558),23360)</f>
        <v>13402.14334346505</v>
      </c>
      <c r="F1558" s="21">
        <f t="shared" ref="F1558" si="893">D1558*E1558</f>
        <v>442270.73033434665</v>
      </c>
      <c r="G1558" s="24">
        <f>'DDS Rates for Amend'!BL17</f>
        <v>6.82</v>
      </c>
      <c r="H1558" s="33">
        <f t="shared" ref="H1558" si="894">F1558*G1558</f>
        <v>3016286.3808802441</v>
      </c>
      <c r="I1558" s="688"/>
      <c r="J1558" s="205"/>
    </row>
    <row r="1559" spans="1:12" x14ac:dyDescent="0.25">
      <c r="A1559" s="21">
        <f>A$15</f>
        <v>1822</v>
      </c>
      <c r="B1559" s="149">
        <f t="shared" si="891"/>
        <v>3.9954337899543377E-2</v>
      </c>
      <c r="C1559" s="20">
        <f t="shared" si="892"/>
        <v>11</v>
      </c>
      <c r="D1559" s="21">
        <f>AR841</f>
        <v>34</v>
      </c>
      <c r="E1559" s="22">
        <f t="shared" ref="E1559:E1563" si="895">IF(TREND($E$1555:$E$1557,$C$1555:$C$1557,C1559)&lt;23360,TREND($E$1555:$E$1557,$C$1555:$C$1557,C1559),23360)</f>
        <v>16408.897811550156</v>
      </c>
      <c r="F1559" s="21">
        <f t="shared" ref="F1559:F1563" si="896">D1559*E1559</f>
        <v>557902.52559270535</v>
      </c>
      <c r="G1559" s="24">
        <f>'DDS Rates for Amend'!BL18</f>
        <v>7.01</v>
      </c>
      <c r="H1559" s="33">
        <f t="shared" ref="H1559:H1563" si="897">F1559*G1559</f>
        <v>3910896.7044048645</v>
      </c>
      <c r="I1559" s="688"/>
      <c r="J1559" s="205"/>
    </row>
    <row r="1560" spans="1:12" x14ac:dyDescent="0.25">
      <c r="A1560" s="21">
        <f>A$16</f>
        <v>1872</v>
      </c>
      <c r="B1560" s="149">
        <f t="shared" si="891"/>
        <v>2.7442371020856202E-2</v>
      </c>
      <c r="C1560" s="20">
        <f t="shared" si="892"/>
        <v>12</v>
      </c>
      <c r="D1560" s="21">
        <f>AU841</f>
        <v>35</v>
      </c>
      <c r="E1560" s="22">
        <f t="shared" si="895"/>
        <v>19415.652279635269</v>
      </c>
      <c r="F1560" s="21">
        <f t="shared" si="896"/>
        <v>679547.82978723443</v>
      </c>
      <c r="G1560" s="24">
        <f>'DDS Rates for Amend'!BL19</f>
        <v>7.1922600000000001</v>
      </c>
      <c r="H1560" s="33">
        <f t="shared" si="897"/>
        <v>4887484.6742655346</v>
      </c>
      <c r="I1560" s="688"/>
      <c r="J1560" s="205"/>
    </row>
    <row r="1561" spans="1:12" x14ac:dyDescent="0.25">
      <c r="A1561" s="21">
        <f>A$17</f>
        <v>1902</v>
      </c>
      <c r="B1561" s="149">
        <f t="shared" si="891"/>
        <v>1.6025641025641024E-2</v>
      </c>
      <c r="C1561" s="20">
        <f t="shared" si="892"/>
        <v>13</v>
      </c>
      <c r="D1561" s="21">
        <f>AX841</f>
        <v>36</v>
      </c>
      <c r="E1561" s="22">
        <f t="shared" si="895"/>
        <v>22422.406747720375</v>
      </c>
      <c r="F1561" s="21">
        <f t="shared" si="896"/>
        <v>807206.64291793352</v>
      </c>
      <c r="G1561" s="24">
        <f>'DDS Rates for Amend'!BL20</f>
        <v>7.3792587599999999</v>
      </c>
      <c r="H1561" s="33">
        <f t="shared" si="897"/>
        <v>5956586.6908823531</v>
      </c>
      <c r="I1561" s="688"/>
      <c r="J1561" s="205"/>
    </row>
    <row r="1562" spans="1:12" x14ac:dyDescent="0.25">
      <c r="A1562" s="21">
        <f>A$18</f>
        <v>1932</v>
      </c>
      <c r="B1562" s="149">
        <f t="shared" si="891"/>
        <v>1.5772870662460567E-2</v>
      </c>
      <c r="C1562" s="20">
        <f t="shared" si="892"/>
        <v>14</v>
      </c>
      <c r="D1562" s="21">
        <f>BA841</f>
        <v>36</v>
      </c>
      <c r="E1562" s="22">
        <f t="shared" si="895"/>
        <v>23360</v>
      </c>
      <c r="F1562" s="21">
        <f t="shared" si="896"/>
        <v>840960</v>
      </c>
      <c r="G1562" s="24">
        <f>'DDS Rates for Amend'!BL21</f>
        <v>7.5711194877599999</v>
      </c>
      <c r="H1562" s="33">
        <f t="shared" si="897"/>
        <v>6367008.6444266494</v>
      </c>
      <c r="I1562" s="688"/>
      <c r="J1562" s="205"/>
    </row>
    <row r="1563" spans="1:12" x14ac:dyDescent="0.25">
      <c r="A1563" s="21">
        <f>A$19</f>
        <v>1962</v>
      </c>
      <c r="B1563" s="149">
        <f t="shared" si="891"/>
        <v>1.5527950310559006E-2</v>
      </c>
      <c r="C1563" s="20">
        <f t="shared" si="892"/>
        <v>15</v>
      </c>
      <c r="D1563" s="21">
        <f>BD841</f>
        <v>37</v>
      </c>
      <c r="E1563" s="22">
        <f t="shared" si="895"/>
        <v>23360</v>
      </c>
      <c r="F1563" s="21">
        <f t="shared" si="896"/>
        <v>864320</v>
      </c>
      <c r="G1563" s="24">
        <f>'DDS Rates for Amend'!BL22</f>
        <v>7.7679685944417596</v>
      </c>
      <c r="H1563" s="33">
        <f t="shared" si="897"/>
        <v>6714010.615547902</v>
      </c>
      <c r="I1563" s="689"/>
      <c r="J1563" s="205"/>
      <c r="K1563" s="285">
        <f>SUM(H1549:H1563)</f>
        <v>36474144.150407553</v>
      </c>
      <c r="L1563" s="17" t="e">
        <f>IF(K1563='Appendix J-2'!CD70,0,error)</f>
        <v>#NAME?</v>
      </c>
    </row>
    <row r="1565" spans="1:12" ht="15" customHeight="1" x14ac:dyDescent="0.25">
      <c r="A1565" s="271" t="s">
        <v>48</v>
      </c>
      <c r="B1565" s="272"/>
      <c r="C1565" s="272"/>
      <c r="D1565" s="298" t="str">
        <f>'Appendix J-2'!B89</f>
        <v>Assistance</v>
      </c>
      <c r="E1565" s="292" t="str">
        <f>'Appendix J-2'!C89</f>
        <v>1 day</v>
      </c>
      <c r="F1565" s="690"/>
      <c r="G1565" s="690"/>
      <c r="H1565" s="690"/>
      <c r="I1565" s="687" t="s">
        <v>1084</v>
      </c>
      <c r="J1565" s="205"/>
    </row>
    <row r="1566" spans="1:12" x14ac:dyDescent="0.25">
      <c r="A1566" s="147" t="s">
        <v>26</v>
      </c>
      <c r="B1566" s="147" t="s">
        <v>27</v>
      </c>
      <c r="C1566" s="51" t="s">
        <v>166</v>
      </c>
      <c r="D1566" s="91" t="s">
        <v>154</v>
      </c>
      <c r="E1566" s="89" t="s">
        <v>155</v>
      </c>
      <c r="F1566" s="34" t="s">
        <v>158</v>
      </c>
      <c r="G1566" s="35" t="s">
        <v>156</v>
      </c>
      <c r="H1566" s="51" t="s">
        <v>157</v>
      </c>
      <c r="I1566" s="688"/>
      <c r="J1566" s="205"/>
    </row>
    <row r="1567" spans="1:12" x14ac:dyDescent="0.25">
      <c r="A1567" s="21">
        <f>A$5</f>
        <v>1182</v>
      </c>
      <c r="B1567" s="148"/>
      <c r="C1567" s="144">
        <v>1</v>
      </c>
      <c r="D1567" s="210">
        <f>'linked - DO NOT USE or DELETE'!D459</f>
        <v>0</v>
      </c>
      <c r="E1567" s="22">
        <f>IF(F1567=0,0,F1567/D1567)</f>
        <v>0</v>
      </c>
      <c r="F1567" s="210">
        <f>'linked - DO NOT USE or DELETE'!F459</f>
        <v>0</v>
      </c>
      <c r="G1567" s="25" t="e">
        <f t="shared" ref="G1567:G1575" si="898">H1567/F1567</f>
        <v>#DIV/0!</v>
      </c>
      <c r="H1567" s="211">
        <f>'linked - DO NOT USE or DELETE'!H459</f>
        <v>0</v>
      </c>
      <c r="I1567" s="688"/>
      <c r="J1567" s="205"/>
    </row>
    <row r="1568" spans="1:12" x14ac:dyDescent="0.25">
      <c r="A1568" s="21">
        <f>A$6</f>
        <v>1288</v>
      </c>
      <c r="B1568" s="149">
        <f>(A1568-A1567)/A1567</f>
        <v>8.9678510998307953E-2</v>
      </c>
      <c r="C1568" s="52">
        <v>2</v>
      </c>
      <c r="D1568" s="210">
        <f>'linked - DO NOT USE or DELETE'!I459</f>
        <v>0</v>
      </c>
      <c r="E1568" s="22">
        <f t="shared" ref="E1568:E1574" si="899">IF(F1568=0,0,F1568/D1568)</f>
        <v>0</v>
      </c>
      <c r="F1568" s="210">
        <f>'linked - DO NOT USE or DELETE'!K459</f>
        <v>0</v>
      </c>
      <c r="G1568" s="25" t="e">
        <f t="shared" si="898"/>
        <v>#DIV/0!</v>
      </c>
      <c r="H1568" s="211">
        <f>'linked - DO NOT USE or DELETE'!M459</f>
        <v>0</v>
      </c>
      <c r="I1568" s="688"/>
      <c r="J1568" s="205"/>
    </row>
    <row r="1569" spans="1:12" x14ac:dyDescent="0.25">
      <c r="A1569" s="21">
        <f>A$7</f>
        <v>1495</v>
      </c>
      <c r="B1569" s="149">
        <f t="shared" ref="B1569:B1581" si="900">(A1569-A1568)/A1568</f>
        <v>0.16071428571428573</v>
      </c>
      <c r="C1569" s="52">
        <v>3</v>
      </c>
      <c r="D1569" s="210">
        <f>'linked - DO NOT USE or DELETE'!N459</f>
        <v>0</v>
      </c>
      <c r="E1569" s="22">
        <f t="shared" si="899"/>
        <v>0</v>
      </c>
      <c r="F1569" s="210">
        <f>'linked - DO NOT USE or DELETE'!P459</f>
        <v>0</v>
      </c>
      <c r="G1569" s="25" t="e">
        <f t="shared" si="898"/>
        <v>#DIV/0!</v>
      </c>
      <c r="H1569" s="33">
        <f>'linked - DO NOT USE or DELETE'!R459</f>
        <v>0</v>
      </c>
      <c r="I1569" s="688"/>
      <c r="J1569" s="205"/>
    </row>
    <row r="1570" spans="1:12" x14ac:dyDescent="0.25">
      <c r="A1570" s="21">
        <f>A$8</f>
        <v>1484</v>
      </c>
      <c r="B1570" s="149">
        <f t="shared" si="900"/>
        <v>-7.3578595317725752E-3</v>
      </c>
      <c r="C1570" s="52">
        <f t="shared" ref="C1570:C1581" si="901">C1569+1</f>
        <v>4</v>
      </c>
      <c r="D1570" s="247">
        <f>'Appendix J-2'!S89</f>
        <v>0</v>
      </c>
      <c r="E1570" s="22">
        <f t="shared" si="899"/>
        <v>0</v>
      </c>
      <c r="F1570" s="247">
        <f>'Appendix J-2'!U89</f>
        <v>0</v>
      </c>
      <c r="G1570" s="25" t="e">
        <f t="shared" si="898"/>
        <v>#DIV/0!</v>
      </c>
      <c r="H1570" s="248">
        <f>'Appendix J-2'!W89</f>
        <v>0</v>
      </c>
      <c r="I1570" s="688"/>
      <c r="J1570" s="205"/>
    </row>
    <row r="1571" spans="1:12" x14ac:dyDescent="0.25">
      <c r="A1571" s="21">
        <f>A$9</f>
        <v>1528</v>
      </c>
      <c r="B1571" s="149">
        <f t="shared" si="900"/>
        <v>2.9649595687331536E-2</v>
      </c>
      <c r="C1571" s="52">
        <f t="shared" si="901"/>
        <v>5</v>
      </c>
      <c r="D1571" s="249">
        <f>'Appendix J-2'!X89</f>
        <v>0</v>
      </c>
      <c r="E1571" s="22">
        <f t="shared" si="899"/>
        <v>0</v>
      </c>
      <c r="F1571" s="249">
        <f>'Appendix J-2'!Z89</f>
        <v>0</v>
      </c>
      <c r="G1571" s="25" t="e">
        <f t="shared" si="898"/>
        <v>#DIV/0!</v>
      </c>
      <c r="H1571" s="248">
        <f>'Appendix J-2'!AB89</f>
        <v>0</v>
      </c>
      <c r="I1571" s="688"/>
      <c r="J1571" s="205"/>
    </row>
    <row r="1572" spans="1:12" x14ac:dyDescent="0.25">
      <c r="A1572" s="21">
        <f>A$10</f>
        <v>1592</v>
      </c>
      <c r="B1572" s="149">
        <f t="shared" si="900"/>
        <v>4.1884816753926704E-2</v>
      </c>
      <c r="C1572" s="20">
        <f t="shared" si="901"/>
        <v>6</v>
      </c>
      <c r="D1572" s="249">
        <f>'Appendix J-2'!AC89</f>
        <v>0</v>
      </c>
      <c r="E1572" s="22">
        <f t="shared" si="899"/>
        <v>0</v>
      </c>
      <c r="F1572" s="249">
        <f>'Appendix J-2'!AE89</f>
        <v>0</v>
      </c>
      <c r="G1572" s="25" t="e">
        <f t="shared" si="898"/>
        <v>#DIV/0!</v>
      </c>
      <c r="H1572" s="248">
        <f>'Appendix J-2'!AG89</f>
        <v>0</v>
      </c>
      <c r="I1572" s="688"/>
      <c r="J1572" s="205"/>
    </row>
    <row r="1573" spans="1:12" x14ac:dyDescent="0.25">
      <c r="A1573" s="21">
        <f>A$11</f>
        <v>1642</v>
      </c>
      <c r="B1573" s="149">
        <f t="shared" si="900"/>
        <v>3.1407035175879394E-2</v>
      </c>
      <c r="C1573" s="20">
        <f t="shared" si="901"/>
        <v>7</v>
      </c>
      <c r="D1573" s="249">
        <f>'Appendix J-2'!AH89</f>
        <v>0</v>
      </c>
      <c r="E1573" s="22">
        <f t="shared" si="899"/>
        <v>0</v>
      </c>
      <c r="F1573" s="249">
        <f>'Appendix J-2'!AJ89</f>
        <v>0</v>
      </c>
      <c r="G1573" s="25" t="e">
        <f t="shared" si="898"/>
        <v>#DIV/0!</v>
      </c>
      <c r="H1573" s="248">
        <f>-'Appendix J-2'!AL89</f>
        <v>0</v>
      </c>
      <c r="I1573" s="688"/>
      <c r="J1573" s="205"/>
    </row>
    <row r="1574" spans="1:12" x14ac:dyDescent="0.25">
      <c r="A1574" s="21">
        <f>A$12</f>
        <v>1675</v>
      </c>
      <c r="B1574" s="149">
        <f t="shared" si="900"/>
        <v>2.0097442143727162E-2</v>
      </c>
      <c r="C1574" s="20">
        <f t="shared" si="901"/>
        <v>8</v>
      </c>
      <c r="D1574" s="249">
        <f>'Appendix J-2'!AM89</f>
        <v>0</v>
      </c>
      <c r="E1574" s="22">
        <f t="shared" si="899"/>
        <v>0</v>
      </c>
      <c r="F1574" s="249">
        <f>'Appendix J-2'!AO89</f>
        <v>0</v>
      </c>
      <c r="G1574" s="25" t="e">
        <f t="shared" si="898"/>
        <v>#DIV/0!</v>
      </c>
      <c r="H1574" s="248">
        <f>'Appendix J-2'!AQ89</f>
        <v>0</v>
      </c>
      <c r="I1574" s="688"/>
      <c r="J1574" s="205"/>
    </row>
    <row r="1575" spans="1:12" x14ac:dyDescent="0.25">
      <c r="A1575" s="21">
        <f>A$13</f>
        <v>1739</v>
      </c>
      <c r="B1575" s="149">
        <f t="shared" si="900"/>
        <v>3.8208955223880597E-2</v>
      </c>
      <c r="C1575" s="20">
        <f t="shared" si="901"/>
        <v>9</v>
      </c>
      <c r="D1575" s="249">
        <f>'Appendix J-2'!AR89</f>
        <v>4</v>
      </c>
      <c r="E1575" s="22">
        <f>IF(F1575=0,0,F1575/D1575)</f>
        <v>339.75</v>
      </c>
      <c r="F1575" s="249">
        <f>'Appendix J-2'!AT89</f>
        <v>1359</v>
      </c>
      <c r="G1575" s="25">
        <f t="shared" si="898"/>
        <v>610.58412067696827</v>
      </c>
      <c r="H1575" s="248">
        <f>'Appendix J-2'!AV89</f>
        <v>829783.82</v>
      </c>
      <c r="I1575" s="688"/>
      <c r="J1575" s="205"/>
    </row>
    <row r="1576" spans="1:12" x14ac:dyDescent="0.25">
      <c r="A1576" s="21">
        <f>A$14</f>
        <v>1752</v>
      </c>
      <c r="B1576" s="149">
        <f t="shared" si="900"/>
        <v>7.4755606670500289E-3</v>
      </c>
      <c r="C1576" s="20">
        <f t="shared" si="901"/>
        <v>10</v>
      </c>
      <c r="D1576" s="21">
        <f>ROUND(T1090,0)</f>
        <v>4</v>
      </c>
      <c r="E1576" s="22">
        <f>IF(TREND($E$1573:$E$1575,$C$1573:$C$1575,C1576)&lt;365,TREND($E$1573:$E$1575,$C$1573:$C$1575,C1576),365)</f>
        <v>365</v>
      </c>
      <c r="F1576" s="21">
        <f t="shared" ref="F1576" si="902">D1576*E1576</f>
        <v>1460</v>
      </c>
      <c r="G1576" s="24">
        <f>'DDS Rates for Amend'!CE17</f>
        <v>610.69000000000005</v>
      </c>
      <c r="H1576" s="33">
        <f t="shared" ref="H1576" si="903">F1576*G1576</f>
        <v>891607.4</v>
      </c>
      <c r="I1576" s="688"/>
      <c r="J1576" s="205"/>
    </row>
    <row r="1577" spans="1:12" x14ac:dyDescent="0.25">
      <c r="A1577" s="21">
        <f>A$15</f>
        <v>1822</v>
      </c>
      <c r="B1577" s="149">
        <f t="shared" si="900"/>
        <v>3.9954337899543377E-2</v>
      </c>
      <c r="C1577" s="20">
        <f t="shared" si="901"/>
        <v>11</v>
      </c>
      <c r="D1577" s="21">
        <f t="shared" ref="D1577:D1581" si="904">ROUND(T1091,0)</f>
        <v>3</v>
      </c>
      <c r="E1577" s="22">
        <f t="shared" ref="E1577:E1581" si="905">IF(TREND($E$1573:$E$1575,$C$1573:$C$1575,C1577)&lt;365,TREND($E$1573:$E$1575,$C$1573:$C$1575,C1577),365)</f>
        <v>365</v>
      </c>
      <c r="F1577" s="21">
        <f t="shared" ref="F1577:F1581" si="906">D1577*E1577</f>
        <v>1095</v>
      </c>
      <c r="G1577" s="24">
        <f>'DDS Rates for Amend'!CE18</f>
        <v>626.57000000000005</v>
      </c>
      <c r="H1577" s="33">
        <f t="shared" ref="H1577:H1581" si="907">F1577*G1577</f>
        <v>686094.15</v>
      </c>
      <c r="I1577" s="688"/>
      <c r="J1577" s="205"/>
    </row>
    <row r="1578" spans="1:12" x14ac:dyDescent="0.25">
      <c r="A1578" s="21">
        <f>A$16</f>
        <v>1872</v>
      </c>
      <c r="B1578" s="149">
        <f t="shared" si="900"/>
        <v>2.7442371020856202E-2</v>
      </c>
      <c r="C1578" s="20">
        <f t="shared" si="901"/>
        <v>12</v>
      </c>
      <c r="D1578" s="21">
        <f t="shared" si="904"/>
        <v>3</v>
      </c>
      <c r="E1578" s="22">
        <f t="shared" si="905"/>
        <v>365</v>
      </c>
      <c r="F1578" s="21">
        <f t="shared" si="906"/>
        <v>1095</v>
      </c>
      <c r="G1578" s="24">
        <f>'DDS Rates for Amend'!CE19</f>
        <v>642.8608200000001</v>
      </c>
      <c r="H1578" s="33">
        <f t="shared" si="907"/>
        <v>703932.59790000017</v>
      </c>
      <c r="I1578" s="688"/>
      <c r="J1578" s="205"/>
    </row>
    <row r="1579" spans="1:12" x14ac:dyDescent="0.25">
      <c r="A1579" s="21">
        <f>A$17</f>
        <v>1902</v>
      </c>
      <c r="B1579" s="149">
        <f t="shared" si="900"/>
        <v>1.6025641025641024E-2</v>
      </c>
      <c r="C1579" s="20">
        <f t="shared" si="901"/>
        <v>13</v>
      </c>
      <c r="D1579" s="21">
        <f t="shared" si="904"/>
        <v>3</v>
      </c>
      <c r="E1579" s="22">
        <f t="shared" si="905"/>
        <v>365</v>
      </c>
      <c r="F1579" s="21">
        <f t="shared" si="906"/>
        <v>1095</v>
      </c>
      <c r="G1579" s="24">
        <f>'DDS Rates for Amend'!CE20</f>
        <v>659.57520132000013</v>
      </c>
      <c r="H1579" s="33">
        <f t="shared" si="907"/>
        <v>722234.8454454001</v>
      </c>
      <c r="I1579" s="688"/>
      <c r="J1579" s="205"/>
    </row>
    <row r="1580" spans="1:12" x14ac:dyDescent="0.25">
      <c r="A1580" s="21">
        <f>A$18</f>
        <v>1932</v>
      </c>
      <c r="B1580" s="149">
        <f t="shared" si="900"/>
        <v>1.5772870662460567E-2</v>
      </c>
      <c r="C1580" s="20">
        <f t="shared" si="901"/>
        <v>14</v>
      </c>
      <c r="D1580" s="21">
        <f t="shared" si="904"/>
        <v>3</v>
      </c>
      <c r="E1580" s="22">
        <f t="shared" si="905"/>
        <v>365</v>
      </c>
      <c r="F1580" s="21">
        <f t="shared" si="906"/>
        <v>1095</v>
      </c>
      <c r="G1580" s="24">
        <f>'DDS Rates for Amend'!CE21</f>
        <v>676.72415655432019</v>
      </c>
      <c r="H1580" s="33">
        <f t="shared" si="907"/>
        <v>741012.95142698055</v>
      </c>
      <c r="I1580" s="688"/>
      <c r="J1580" s="205"/>
    </row>
    <row r="1581" spans="1:12" x14ac:dyDescent="0.25">
      <c r="A1581" s="21">
        <f>A$19</f>
        <v>1962</v>
      </c>
      <c r="B1581" s="149">
        <f t="shared" si="900"/>
        <v>1.5527950310559006E-2</v>
      </c>
      <c r="C1581" s="20">
        <f t="shared" si="901"/>
        <v>15</v>
      </c>
      <c r="D1581" s="21">
        <f t="shared" si="904"/>
        <v>3</v>
      </c>
      <c r="E1581" s="22">
        <f t="shared" si="905"/>
        <v>365</v>
      </c>
      <c r="F1581" s="21">
        <f t="shared" si="906"/>
        <v>1095</v>
      </c>
      <c r="G1581" s="24">
        <f>'DDS Rates for Amend'!CE22</f>
        <v>694.31898462473248</v>
      </c>
      <c r="H1581" s="33">
        <f t="shared" si="907"/>
        <v>760279.2881640821</v>
      </c>
      <c r="I1581" s="689"/>
      <c r="J1581" s="205"/>
      <c r="K1581" s="285">
        <f>SUM(H1567:H1581)</f>
        <v>5334945.0529364636</v>
      </c>
      <c r="L1581" s="17">
        <f>IF(K1581='Appendix J-2'!CD89,0,error)</f>
        <v>0</v>
      </c>
    </row>
    <row r="1583" spans="1:12" ht="15" customHeight="1" x14ac:dyDescent="0.25">
      <c r="A1583" s="271" t="s">
        <v>49</v>
      </c>
      <c r="B1583" s="272"/>
      <c r="C1583" s="272"/>
      <c r="D1583" s="298" t="str">
        <f>'Appendix J-2'!B94</f>
        <v>Assistance</v>
      </c>
      <c r="E1583" s="292" t="str">
        <f>'Appendix J-2'!C94</f>
        <v>1 day</v>
      </c>
      <c r="F1583" s="690"/>
      <c r="G1583" s="690"/>
      <c r="H1583" s="690"/>
      <c r="I1583" s="687" t="s">
        <v>1084</v>
      </c>
      <c r="J1583" s="205"/>
    </row>
    <row r="1584" spans="1:12" x14ac:dyDescent="0.25">
      <c r="A1584" s="147" t="s">
        <v>26</v>
      </c>
      <c r="B1584" s="147" t="s">
        <v>27</v>
      </c>
      <c r="C1584" s="51" t="s">
        <v>166</v>
      </c>
      <c r="D1584" s="91" t="s">
        <v>154</v>
      </c>
      <c r="E1584" s="89" t="s">
        <v>155</v>
      </c>
      <c r="F1584" s="34" t="s">
        <v>158</v>
      </c>
      <c r="G1584" s="35" t="s">
        <v>156</v>
      </c>
      <c r="H1584" s="51" t="s">
        <v>157</v>
      </c>
      <c r="I1584" s="688"/>
      <c r="J1584" s="205"/>
    </row>
    <row r="1585" spans="1:24" x14ac:dyDescent="0.25">
      <c r="A1585" s="21">
        <f>A$5</f>
        <v>1182</v>
      </c>
      <c r="B1585" s="148"/>
      <c r="C1585" s="144">
        <v>1</v>
      </c>
      <c r="D1585" s="210">
        <f>'linked - DO NOT USE or DELETE'!D472</f>
        <v>0</v>
      </c>
      <c r="E1585" s="22">
        <f t="shared" ref="E1585:E1593" si="908">IF(F1585=0,0,F1585/D1585)</f>
        <v>0</v>
      </c>
      <c r="F1585" s="210">
        <f>'linked - DO NOT USE or DELETE'!F472</f>
        <v>0</v>
      </c>
      <c r="G1585" s="25" t="e">
        <f t="shared" ref="G1585:G1593" si="909">H1585/F1585</f>
        <v>#DIV/0!</v>
      </c>
      <c r="H1585" s="211">
        <f>'linked - DO NOT USE or DELETE'!H472</f>
        <v>0</v>
      </c>
      <c r="I1585" s="688"/>
      <c r="J1585" s="205"/>
    </row>
    <row r="1586" spans="1:24" x14ac:dyDescent="0.25">
      <c r="A1586" s="21">
        <f>A$6</f>
        <v>1288</v>
      </c>
      <c r="B1586" s="149">
        <f>(A1586-A1585)/A1585</f>
        <v>8.9678510998307953E-2</v>
      </c>
      <c r="C1586" s="52">
        <v>2</v>
      </c>
      <c r="D1586" s="210">
        <f>'linked - DO NOT USE or DELETE'!I472</f>
        <v>0</v>
      </c>
      <c r="E1586" s="22">
        <f t="shared" si="908"/>
        <v>0</v>
      </c>
      <c r="F1586" s="210">
        <f>'linked - DO NOT USE or DELETE'!K472</f>
        <v>0</v>
      </c>
      <c r="G1586" s="25" t="e">
        <f t="shared" si="909"/>
        <v>#DIV/0!</v>
      </c>
      <c r="H1586" s="211">
        <f>'linked - DO NOT USE or DELETE'!M472</f>
        <v>0</v>
      </c>
      <c r="I1586" s="688"/>
      <c r="J1586" s="205"/>
    </row>
    <row r="1587" spans="1:24" x14ac:dyDescent="0.25">
      <c r="A1587" s="21">
        <f>A$7</f>
        <v>1495</v>
      </c>
      <c r="B1587" s="149">
        <f t="shared" ref="B1587:B1599" si="910">(A1587-A1586)/A1586</f>
        <v>0.16071428571428573</v>
      </c>
      <c r="C1587" s="52">
        <v>3</v>
      </c>
      <c r="D1587" s="210">
        <f>'linked - DO NOT USE or DELETE'!N472</f>
        <v>0</v>
      </c>
      <c r="E1587" s="22">
        <f t="shared" si="908"/>
        <v>0</v>
      </c>
      <c r="F1587" s="210">
        <f>'linked - DO NOT USE or DELETE'!P472</f>
        <v>0</v>
      </c>
      <c r="G1587" s="25" t="e">
        <f t="shared" si="909"/>
        <v>#DIV/0!</v>
      </c>
      <c r="H1587" s="33">
        <f>'linked - DO NOT USE or DELETE'!R472</f>
        <v>0</v>
      </c>
      <c r="I1587" s="688"/>
      <c r="J1587" s="205"/>
    </row>
    <row r="1588" spans="1:24" x14ac:dyDescent="0.25">
      <c r="A1588" s="21">
        <f>A$8</f>
        <v>1484</v>
      </c>
      <c r="B1588" s="149">
        <f t="shared" si="910"/>
        <v>-7.3578595317725752E-3</v>
      </c>
      <c r="C1588" s="52">
        <f t="shared" ref="C1588:C1599" si="911">C1587+1</f>
        <v>4</v>
      </c>
      <c r="D1588" s="247">
        <f>'Appendix J-2'!S94</f>
        <v>0</v>
      </c>
      <c r="E1588" s="22">
        <f t="shared" si="908"/>
        <v>0</v>
      </c>
      <c r="F1588" s="247">
        <f>'Appendix J-2'!U94</f>
        <v>0</v>
      </c>
      <c r="G1588" s="25" t="e">
        <f t="shared" si="909"/>
        <v>#DIV/0!</v>
      </c>
      <c r="H1588" s="248">
        <f>'Appendix J-2'!W94</f>
        <v>0</v>
      </c>
      <c r="I1588" s="688"/>
      <c r="J1588" s="205"/>
    </row>
    <row r="1589" spans="1:24" x14ac:dyDescent="0.25">
      <c r="A1589" s="21">
        <f>A$9</f>
        <v>1528</v>
      </c>
      <c r="B1589" s="149">
        <f t="shared" si="910"/>
        <v>2.9649595687331536E-2</v>
      </c>
      <c r="C1589" s="52">
        <f t="shared" si="911"/>
        <v>5</v>
      </c>
      <c r="D1589" s="249">
        <f>'Appendix J-2'!X94</f>
        <v>0</v>
      </c>
      <c r="E1589" s="22">
        <f t="shared" si="908"/>
        <v>0</v>
      </c>
      <c r="F1589" s="249">
        <f>'Appendix J-2'!Z94</f>
        <v>0</v>
      </c>
      <c r="G1589" s="25" t="e">
        <f t="shared" si="909"/>
        <v>#DIV/0!</v>
      </c>
      <c r="H1589" s="248">
        <f>'Appendix J-2'!AB94</f>
        <v>0</v>
      </c>
      <c r="I1589" s="688"/>
      <c r="J1589" s="205"/>
    </row>
    <row r="1590" spans="1:24" x14ac:dyDescent="0.25">
      <c r="A1590" s="21">
        <f>A$10</f>
        <v>1592</v>
      </c>
      <c r="B1590" s="149">
        <f t="shared" si="910"/>
        <v>4.1884816753926704E-2</v>
      </c>
      <c r="C1590" s="52">
        <f t="shared" si="911"/>
        <v>6</v>
      </c>
      <c r="D1590" s="249">
        <f>'Appendix J-2'!AC94</f>
        <v>0</v>
      </c>
      <c r="E1590" s="22">
        <f t="shared" si="908"/>
        <v>0</v>
      </c>
      <c r="F1590" s="249">
        <f>'Appendix J-2'!AE94</f>
        <v>0</v>
      </c>
      <c r="G1590" s="25" t="e">
        <f t="shared" si="909"/>
        <v>#DIV/0!</v>
      </c>
      <c r="H1590" s="248">
        <f>'Appendix J-2'!AG94</f>
        <v>0</v>
      </c>
      <c r="I1590" s="688"/>
      <c r="J1590" s="205"/>
    </row>
    <row r="1591" spans="1:24" x14ac:dyDescent="0.25">
      <c r="A1591" s="21">
        <f>A$11</f>
        <v>1642</v>
      </c>
      <c r="B1591" s="149">
        <f t="shared" si="910"/>
        <v>3.1407035175879394E-2</v>
      </c>
      <c r="C1591" s="52">
        <f t="shared" si="911"/>
        <v>7</v>
      </c>
      <c r="D1591" s="249">
        <f>'Appendix J-2'!AH94</f>
        <v>6</v>
      </c>
      <c r="E1591" s="22">
        <f t="shared" si="908"/>
        <v>180.83333333333334</v>
      </c>
      <c r="F1591" s="249">
        <f>'Appendix J-2'!AJ94</f>
        <v>1085</v>
      </c>
      <c r="G1591" s="25">
        <f t="shared" si="909"/>
        <v>546.36496774193552</v>
      </c>
      <c r="H1591" s="248">
        <f>'Appendix J-2'!AL94</f>
        <v>592805.99</v>
      </c>
      <c r="I1591" s="688"/>
      <c r="J1591" s="205"/>
    </row>
    <row r="1592" spans="1:24" x14ac:dyDescent="0.25">
      <c r="A1592" s="21">
        <f>A$12</f>
        <v>1675</v>
      </c>
      <c r="B1592" s="149">
        <f t="shared" si="910"/>
        <v>2.0097442143727162E-2</v>
      </c>
      <c r="C1592" s="20">
        <f t="shared" si="911"/>
        <v>8</v>
      </c>
      <c r="D1592" s="249">
        <f>'Appendix J-2'!AM94</f>
        <v>12</v>
      </c>
      <c r="E1592" s="22">
        <f t="shared" si="908"/>
        <v>201.5</v>
      </c>
      <c r="F1592" s="249">
        <f>'Appendix J-2'!AO94</f>
        <v>2418</v>
      </c>
      <c r="G1592" s="25">
        <f t="shared" si="909"/>
        <v>575.9799999999999</v>
      </c>
      <c r="H1592" s="248">
        <f>'Appendix J-2'!AQ94</f>
        <v>1392719.64</v>
      </c>
      <c r="I1592" s="688"/>
      <c r="J1592" s="205"/>
    </row>
    <row r="1593" spans="1:24" x14ac:dyDescent="0.25">
      <c r="A1593" s="21">
        <f>A$13</f>
        <v>1739</v>
      </c>
      <c r="B1593" s="149">
        <f t="shared" si="910"/>
        <v>3.8208955223880597E-2</v>
      </c>
      <c r="C1593" s="20">
        <f t="shared" si="911"/>
        <v>9</v>
      </c>
      <c r="D1593" s="249">
        <f>'Appendix J-2'!AR94</f>
        <v>16</v>
      </c>
      <c r="E1593" s="22">
        <f t="shared" si="908"/>
        <v>245.75</v>
      </c>
      <c r="F1593" s="249">
        <f>'Appendix J-2'!AT94</f>
        <v>3932</v>
      </c>
      <c r="G1593" s="25">
        <f t="shared" si="909"/>
        <v>551.18247965412002</v>
      </c>
      <c r="H1593" s="248">
        <f>'Appendix J-2'!AV94</f>
        <v>2167249.5099999998</v>
      </c>
      <c r="I1593" s="688"/>
      <c r="J1593" s="205"/>
    </row>
    <row r="1594" spans="1:24" x14ac:dyDescent="0.25">
      <c r="A1594" s="21">
        <f>A$14</f>
        <v>1752</v>
      </c>
      <c r="B1594" s="149">
        <f t="shared" si="910"/>
        <v>7.4755606670500289E-3</v>
      </c>
      <c r="C1594" s="20">
        <f t="shared" si="911"/>
        <v>10</v>
      </c>
      <c r="D1594" s="21">
        <f>ROUND(Y1090,0)</f>
        <v>11</v>
      </c>
      <c r="E1594" s="22">
        <f>IF(TREND($E$1591:$E$1593,$C$1591:$C$1593,C1594)&lt;365,TREND($E$1591:$E$1593,$C$1591:$C$1593,C1594),365)</f>
        <v>274.27777777777771</v>
      </c>
      <c r="F1594" s="21">
        <f t="shared" ref="F1594" si="912">D1594*E1594</f>
        <v>3017.0555555555547</v>
      </c>
      <c r="G1594" s="24">
        <f>'DDS Rates for Amend'!CJ17</f>
        <v>510.83</v>
      </c>
      <c r="H1594" s="33">
        <f t="shared" ref="H1594" si="913">F1594*G1594</f>
        <v>1541202.489444444</v>
      </c>
      <c r="I1594" s="688"/>
      <c r="J1594" s="205"/>
    </row>
    <row r="1595" spans="1:24" x14ac:dyDescent="0.25">
      <c r="A1595" s="21">
        <f>A$15</f>
        <v>1822</v>
      </c>
      <c r="B1595" s="149">
        <f t="shared" si="910"/>
        <v>3.9954337899543377E-2</v>
      </c>
      <c r="C1595" s="20">
        <f t="shared" si="911"/>
        <v>11</v>
      </c>
      <c r="D1595" s="21">
        <f t="shared" ref="D1595:D1599" si="914">ROUND(Y1091,0)</f>
        <v>10</v>
      </c>
      <c r="E1595" s="22">
        <f t="shared" ref="E1595:E1599" si="915">IF(TREND($E$1591:$E$1593,$C$1591:$C$1593,C1595)&lt;365,TREND($E$1591:$E$1593,$C$1591:$C$1593,C1595),365)</f>
        <v>306.73611111111109</v>
      </c>
      <c r="F1595" s="21">
        <f t="shared" ref="F1595:F1599" si="916">D1595*E1595</f>
        <v>3067.3611111111109</v>
      </c>
      <c r="G1595" s="24">
        <f>'DDS Rates for Amend'!CJ18</f>
        <v>524.11</v>
      </c>
      <c r="H1595" s="33">
        <f t="shared" ref="H1595:H1599" si="917">F1595*G1595</f>
        <v>1607634.6319444443</v>
      </c>
      <c r="I1595" s="688"/>
      <c r="J1595" s="205"/>
    </row>
    <row r="1596" spans="1:24" x14ac:dyDescent="0.25">
      <c r="A1596" s="21">
        <f>A$16</f>
        <v>1872</v>
      </c>
      <c r="B1596" s="149">
        <f t="shared" si="910"/>
        <v>2.7442371020856202E-2</v>
      </c>
      <c r="C1596" s="20">
        <f t="shared" si="911"/>
        <v>12</v>
      </c>
      <c r="D1596" s="21">
        <f t="shared" si="914"/>
        <v>10</v>
      </c>
      <c r="E1596" s="22">
        <f t="shared" si="915"/>
        <v>339.19444444444446</v>
      </c>
      <c r="F1596" s="21">
        <f t="shared" si="916"/>
        <v>3391.9444444444443</v>
      </c>
      <c r="G1596" s="24">
        <f>'DDS Rates for Amend'!CJ19</f>
        <v>537.73685999999998</v>
      </c>
      <c r="H1596" s="33">
        <f t="shared" si="917"/>
        <v>1823973.55485</v>
      </c>
      <c r="I1596" s="688"/>
      <c r="J1596" s="205"/>
    </row>
    <row r="1597" spans="1:24" x14ac:dyDescent="0.25">
      <c r="A1597" s="21">
        <f>A$17</f>
        <v>1902</v>
      </c>
      <c r="B1597" s="149">
        <f t="shared" si="910"/>
        <v>1.6025641025641024E-2</v>
      </c>
      <c r="C1597" s="20">
        <f t="shared" si="911"/>
        <v>13</v>
      </c>
      <c r="D1597" s="21">
        <f t="shared" si="914"/>
        <v>10</v>
      </c>
      <c r="E1597" s="22">
        <f t="shared" si="915"/>
        <v>365</v>
      </c>
      <c r="F1597" s="21">
        <f t="shared" si="916"/>
        <v>3650</v>
      </c>
      <c r="G1597" s="24">
        <f>'DDS Rates for Amend'!CJ20</f>
        <v>551.71801835999997</v>
      </c>
      <c r="H1597" s="33">
        <f t="shared" si="917"/>
        <v>2013770.7670139999</v>
      </c>
      <c r="I1597" s="688"/>
      <c r="J1597" s="205"/>
    </row>
    <row r="1598" spans="1:24" x14ac:dyDescent="0.25">
      <c r="A1598" s="21">
        <f>A$18</f>
        <v>1932</v>
      </c>
      <c r="B1598" s="149">
        <f t="shared" si="910"/>
        <v>1.5772870662460567E-2</v>
      </c>
      <c r="C1598" s="20">
        <f t="shared" si="911"/>
        <v>14</v>
      </c>
      <c r="D1598" s="21">
        <f t="shared" si="914"/>
        <v>10</v>
      </c>
      <c r="E1598" s="22">
        <f t="shared" si="915"/>
        <v>365</v>
      </c>
      <c r="F1598" s="21">
        <f t="shared" si="916"/>
        <v>3650</v>
      </c>
      <c r="G1598" s="24">
        <f>'DDS Rates for Amend'!CJ21</f>
        <v>566.06268683735993</v>
      </c>
      <c r="H1598" s="33">
        <f t="shared" si="917"/>
        <v>2066128.8069563638</v>
      </c>
      <c r="I1598" s="688"/>
      <c r="J1598" s="205"/>
    </row>
    <row r="1599" spans="1:24" x14ac:dyDescent="0.25">
      <c r="A1599" s="21">
        <f>A$19</f>
        <v>1962</v>
      </c>
      <c r="B1599" s="149">
        <f t="shared" si="910"/>
        <v>1.5527950310559006E-2</v>
      </c>
      <c r="C1599" s="20">
        <f t="shared" si="911"/>
        <v>15</v>
      </c>
      <c r="D1599" s="21">
        <f t="shared" si="914"/>
        <v>10</v>
      </c>
      <c r="E1599" s="22">
        <f t="shared" si="915"/>
        <v>365</v>
      </c>
      <c r="F1599" s="21">
        <f t="shared" si="916"/>
        <v>3650</v>
      </c>
      <c r="G1599" s="24">
        <f>'DDS Rates for Amend'!CJ22</f>
        <v>580.78031669513132</v>
      </c>
      <c r="H1599" s="33">
        <f t="shared" si="917"/>
        <v>2119848.1559372293</v>
      </c>
      <c r="I1599" s="689"/>
      <c r="J1599" s="205"/>
      <c r="K1599" s="285">
        <f>SUM(H1585:H1599)</f>
        <v>15325333.546146482</v>
      </c>
      <c r="L1599" s="17">
        <f>IF(K1599='Appendix J-2'!CD94,0,error)</f>
        <v>0</v>
      </c>
    </row>
    <row r="1600" spans="1:24" x14ac:dyDescent="0.25">
      <c r="N1600" s="446"/>
      <c r="O1600" s="446"/>
      <c r="P1600" s="446"/>
      <c r="Q1600" s="446"/>
      <c r="R1600" s="446"/>
      <c r="S1600" s="446"/>
      <c r="T1600" s="446"/>
      <c r="U1600" s="446"/>
      <c r="V1600" s="446"/>
      <c r="W1600" s="446"/>
      <c r="X1600" s="446"/>
    </row>
    <row r="1601" spans="1:24" ht="15" customHeight="1" x14ac:dyDescent="0.25">
      <c r="A1601" s="271" t="s">
        <v>50</v>
      </c>
      <c r="B1601" s="272"/>
      <c r="C1601" s="272"/>
      <c r="D1601" s="298" t="str">
        <f>'Appendix J-2'!B62</f>
        <v>Assistance</v>
      </c>
      <c r="E1601" s="292" t="str">
        <f>'Appendix J-2'!C62</f>
        <v>1 day</v>
      </c>
      <c r="F1601" s="690"/>
      <c r="G1601" s="690"/>
      <c r="H1601" s="690"/>
      <c r="I1601" s="687" t="s">
        <v>1112</v>
      </c>
      <c r="J1601" s="205"/>
      <c r="N1601" s="577" t="s">
        <v>611</v>
      </c>
      <c r="O1601" s="578"/>
      <c r="P1601" s="578"/>
      <c r="Q1601" s="588"/>
      <c r="R1601" s="447"/>
      <c r="S1601" s="448"/>
      <c r="T1601" s="446"/>
      <c r="U1601" s="446"/>
      <c r="V1601" s="446"/>
      <c r="W1601" s="446"/>
      <c r="X1601" s="446"/>
    </row>
    <row r="1602" spans="1:24" ht="30" x14ac:dyDescent="0.25">
      <c r="A1602" s="147" t="s">
        <v>26</v>
      </c>
      <c r="B1602" s="147" t="s">
        <v>27</v>
      </c>
      <c r="C1602" s="51" t="s">
        <v>166</v>
      </c>
      <c r="D1602" s="91" t="s">
        <v>154</v>
      </c>
      <c r="E1602" s="89" t="s">
        <v>155</v>
      </c>
      <c r="F1602" s="34" t="s">
        <v>158</v>
      </c>
      <c r="G1602" s="35" t="s">
        <v>156</v>
      </c>
      <c r="H1602" s="51" t="s">
        <v>157</v>
      </c>
      <c r="I1602" s="688"/>
      <c r="J1602" s="205"/>
      <c r="N1602" s="580" t="s">
        <v>26</v>
      </c>
      <c r="O1602" s="580" t="s">
        <v>27</v>
      </c>
      <c r="P1602" s="471" t="s">
        <v>166</v>
      </c>
      <c r="Q1602" s="581" t="s">
        <v>154</v>
      </c>
      <c r="R1602" s="449" t="s">
        <v>155</v>
      </c>
      <c r="S1602" s="450" t="s">
        <v>158</v>
      </c>
      <c r="T1602" s="446"/>
      <c r="U1602" s="446"/>
      <c r="V1602" s="446"/>
      <c r="W1602" s="446"/>
      <c r="X1602" s="446"/>
    </row>
    <row r="1603" spans="1:24" x14ac:dyDescent="0.25">
      <c r="A1603" s="21">
        <f>A$5</f>
        <v>1182</v>
      </c>
      <c r="B1603" s="148"/>
      <c r="C1603" s="144">
        <v>1</v>
      </c>
      <c r="D1603" s="210">
        <f>'linked - DO NOT USE or DELETE'!D485</f>
        <v>0</v>
      </c>
      <c r="E1603" s="22">
        <f t="shared" ref="E1603:E1611" si="918">IF(F1603=0,0,F1603/D1603)</f>
        <v>0</v>
      </c>
      <c r="F1603" s="210">
        <f>'linked - DO NOT USE or DELETE'!F485</f>
        <v>0</v>
      </c>
      <c r="G1603" s="25" t="e">
        <f t="shared" ref="G1603:G1611" si="919">H1603/F1603</f>
        <v>#DIV/0!</v>
      </c>
      <c r="H1603" s="211">
        <f>'linked - DO NOT USE or DELETE'!H485</f>
        <v>0</v>
      </c>
      <c r="I1603" s="688"/>
      <c r="J1603" s="205"/>
      <c r="N1603" s="453">
        <f>A1603</f>
        <v>1182</v>
      </c>
      <c r="O1603" s="582"/>
      <c r="P1603" s="583">
        <v>1</v>
      </c>
      <c r="Q1603" s="452">
        <f>D1603+D1621</f>
        <v>0</v>
      </c>
      <c r="R1603" s="451">
        <f>IF(S1603=0,0,S1603/Q1603)</f>
        <v>0</v>
      </c>
      <c r="S1603" s="452">
        <f>F1603+F1621</f>
        <v>0</v>
      </c>
      <c r="T1603" s="446"/>
      <c r="U1603" s="446"/>
      <c r="V1603" s="446"/>
      <c r="W1603" s="446"/>
      <c r="X1603" s="446"/>
    </row>
    <row r="1604" spans="1:24" x14ac:dyDescent="0.25">
      <c r="A1604" s="21">
        <f>A$6</f>
        <v>1288</v>
      </c>
      <c r="B1604" s="149">
        <f>(A1604-A1603)/A1603</f>
        <v>8.9678510998307953E-2</v>
      </c>
      <c r="C1604" s="52">
        <v>2</v>
      </c>
      <c r="D1604" s="210">
        <f>'linked - DO NOT USE or DELETE'!I485</f>
        <v>0</v>
      </c>
      <c r="E1604" s="22">
        <f t="shared" si="918"/>
        <v>0</v>
      </c>
      <c r="F1604" s="210">
        <f>'linked - DO NOT USE or DELETE'!K485</f>
        <v>0</v>
      </c>
      <c r="G1604" s="25" t="e">
        <f t="shared" si="919"/>
        <v>#DIV/0!</v>
      </c>
      <c r="H1604" s="211">
        <f>'linked - DO NOT USE or DELETE'!M485</f>
        <v>0</v>
      </c>
      <c r="I1604" s="688"/>
      <c r="J1604" s="205"/>
      <c r="N1604" s="453">
        <f t="shared" ref="N1604:N1617" si="920">A1604</f>
        <v>1288</v>
      </c>
      <c r="O1604" s="584">
        <f>(N1604-N1603)/N1603</f>
        <v>8.9678510998307953E-2</v>
      </c>
      <c r="P1604" s="585">
        <v>2</v>
      </c>
      <c r="Q1604" s="452">
        <f t="shared" ref="Q1604:Q1611" si="921">D1604+D1622</f>
        <v>0</v>
      </c>
      <c r="R1604" s="451">
        <f t="shared" ref="R1604:R1611" si="922">IF(S1604=0,0,S1604/Q1604)</f>
        <v>0</v>
      </c>
      <c r="S1604" s="452">
        <f t="shared" ref="S1604:S1611" si="923">F1604+F1622</f>
        <v>0</v>
      </c>
      <c r="T1604" s="446"/>
      <c r="U1604" s="446"/>
      <c r="V1604" s="446"/>
      <c r="W1604" s="446"/>
      <c r="X1604" s="446"/>
    </row>
    <row r="1605" spans="1:24" x14ac:dyDescent="0.25">
      <c r="A1605" s="21">
        <f>A$7</f>
        <v>1495</v>
      </c>
      <c r="B1605" s="149">
        <f t="shared" ref="B1605:B1617" si="924">(A1605-A1604)/A1604</f>
        <v>0.16071428571428573</v>
      </c>
      <c r="C1605" s="52">
        <v>3</v>
      </c>
      <c r="D1605" s="210">
        <f>'linked - DO NOT USE or DELETE'!N485</f>
        <v>0</v>
      </c>
      <c r="E1605" s="22">
        <f t="shared" si="918"/>
        <v>0</v>
      </c>
      <c r="F1605" s="210">
        <f>'linked - DO NOT USE or DELETE'!P485</f>
        <v>0</v>
      </c>
      <c r="G1605" s="25" t="e">
        <f t="shared" si="919"/>
        <v>#DIV/0!</v>
      </c>
      <c r="H1605" s="33">
        <f>'linked - DO NOT USE or DELETE'!R485</f>
        <v>0</v>
      </c>
      <c r="I1605" s="688"/>
      <c r="J1605" s="205"/>
      <c r="N1605" s="453">
        <f t="shared" si="920"/>
        <v>1495</v>
      </c>
      <c r="O1605" s="584">
        <f t="shared" ref="O1605:O1617" si="925">(N1605-N1604)/N1604</f>
        <v>0.16071428571428573</v>
      </c>
      <c r="P1605" s="585">
        <v>3</v>
      </c>
      <c r="Q1605" s="452">
        <f t="shared" si="921"/>
        <v>0</v>
      </c>
      <c r="R1605" s="451">
        <f t="shared" si="922"/>
        <v>0</v>
      </c>
      <c r="S1605" s="452">
        <f t="shared" si="923"/>
        <v>0</v>
      </c>
      <c r="T1605" s="446"/>
      <c r="U1605" s="446"/>
      <c r="V1605" s="446"/>
      <c r="W1605" s="446"/>
      <c r="X1605" s="446"/>
    </row>
    <row r="1606" spans="1:24" x14ac:dyDescent="0.25">
      <c r="A1606" s="21">
        <f>A$8</f>
        <v>1484</v>
      </c>
      <c r="B1606" s="149">
        <f t="shared" si="924"/>
        <v>-7.3578595317725752E-3</v>
      </c>
      <c r="C1606" s="52">
        <f t="shared" ref="C1606:C1617" si="926">C1605+1</f>
        <v>4</v>
      </c>
      <c r="D1606" s="247">
        <f>'Appendix J-2'!S62</f>
        <v>0</v>
      </c>
      <c r="E1606" s="22">
        <f t="shared" si="918"/>
        <v>0</v>
      </c>
      <c r="F1606" s="247">
        <f>'Appendix J-2'!U62</f>
        <v>0</v>
      </c>
      <c r="G1606" s="25" t="e">
        <f t="shared" si="919"/>
        <v>#DIV/0!</v>
      </c>
      <c r="H1606" s="248">
        <f>'Appendix J-2'!W62</f>
        <v>0</v>
      </c>
      <c r="I1606" s="688"/>
      <c r="J1606" s="205"/>
      <c r="N1606" s="453">
        <f t="shared" si="920"/>
        <v>1484</v>
      </c>
      <c r="O1606" s="584">
        <f t="shared" si="925"/>
        <v>-7.3578595317725752E-3</v>
      </c>
      <c r="P1606" s="585">
        <f t="shared" ref="P1606:P1617" si="927">P1605+1</f>
        <v>4</v>
      </c>
      <c r="Q1606" s="452">
        <f t="shared" si="921"/>
        <v>0</v>
      </c>
      <c r="R1606" s="451">
        <f t="shared" si="922"/>
        <v>0</v>
      </c>
      <c r="S1606" s="452">
        <f t="shared" si="923"/>
        <v>0</v>
      </c>
      <c r="T1606" s="446"/>
      <c r="U1606" s="446"/>
      <c r="V1606" s="446"/>
      <c r="W1606" s="446"/>
      <c r="X1606" s="446"/>
    </row>
    <row r="1607" spans="1:24" x14ac:dyDescent="0.25">
      <c r="A1607" s="21">
        <f>A$9</f>
        <v>1528</v>
      </c>
      <c r="B1607" s="149">
        <f t="shared" si="924"/>
        <v>2.9649595687331536E-2</v>
      </c>
      <c r="C1607" s="52">
        <f t="shared" si="926"/>
        <v>5</v>
      </c>
      <c r="D1607" s="249">
        <f>'Appendix J-2'!X62</f>
        <v>0</v>
      </c>
      <c r="E1607" s="22">
        <f t="shared" si="918"/>
        <v>0</v>
      </c>
      <c r="F1607" s="249">
        <f>'Appendix J-2'!Z62</f>
        <v>0</v>
      </c>
      <c r="G1607" s="25" t="e">
        <f t="shared" si="919"/>
        <v>#DIV/0!</v>
      </c>
      <c r="H1607" s="248">
        <f>'Appendix J-2'!AB62</f>
        <v>0</v>
      </c>
      <c r="I1607" s="688"/>
      <c r="J1607" s="205"/>
      <c r="N1607" s="453">
        <f t="shared" si="920"/>
        <v>1528</v>
      </c>
      <c r="O1607" s="584">
        <f t="shared" si="925"/>
        <v>2.9649595687331536E-2</v>
      </c>
      <c r="P1607" s="585">
        <f t="shared" si="927"/>
        <v>5</v>
      </c>
      <c r="Q1607" s="452">
        <f t="shared" si="921"/>
        <v>0</v>
      </c>
      <c r="R1607" s="451">
        <f t="shared" si="922"/>
        <v>0</v>
      </c>
      <c r="S1607" s="452">
        <f t="shared" si="923"/>
        <v>0</v>
      </c>
      <c r="T1607" s="446"/>
      <c r="U1607" s="446"/>
      <c r="V1607" s="446"/>
      <c r="W1607" s="446"/>
      <c r="X1607" s="446"/>
    </row>
    <row r="1608" spans="1:24" x14ac:dyDescent="0.25">
      <c r="A1608" s="21">
        <f>A$10</f>
        <v>1592</v>
      </c>
      <c r="B1608" s="149">
        <f t="shared" si="924"/>
        <v>4.1884816753926704E-2</v>
      </c>
      <c r="C1608" s="52">
        <f t="shared" si="926"/>
        <v>6</v>
      </c>
      <c r="D1608" s="249">
        <f>'Appendix J-2'!AC62</f>
        <v>0</v>
      </c>
      <c r="E1608" s="22">
        <f t="shared" si="918"/>
        <v>0</v>
      </c>
      <c r="F1608" s="249">
        <f>'Appendix J-2'!AE62</f>
        <v>0</v>
      </c>
      <c r="G1608" s="25" t="e">
        <f t="shared" si="919"/>
        <v>#DIV/0!</v>
      </c>
      <c r="H1608" s="248">
        <f>'Appendix J-2'!AG62</f>
        <v>0</v>
      </c>
      <c r="I1608" s="688"/>
      <c r="J1608" s="205"/>
      <c r="N1608" s="453">
        <f t="shared" si="920"/>
        <v>1592</v>
      </c>
      <c r="O1608" s="584">
        <f t="shared" si="925"/>
        <v>4.1884816753926704E-2</v>
      </c>
      <c r="P1608" s="586">
        <f t="shared" si="927"/>
        <v>6</v>
      </c>
      <c r="Q1608" s="452">
        <f t="shared" si="921"/>
        <v>0</v>
      </c>
      <c r="R1608" s="451">
        <f t="shared" si="922"/>
        <v>0</v>
      </c>
      <c r="S1608" s="452">
        <f t="shared" si="923"/>
        <v>0</v>
      </c>
      <c r="T1608" s="446"/>
      <c r="U1608" s="446"/>
      <c r="V1608" s="446"/>
      <c r="W1608" s="446"/>
      <c r="X1608" s="446"/>
    </row>
    <row r="1609" spans="1:24" x14ac:dyDescent="0.25">
      <c r="A1609" s="21">
        <f>A$11</f>
        <v>1642</v>
      </c>
      <c r="B1609" s="149">
        <f t="shared" si="924"/>
        <v>3.1407035175879394E-2</v>
      </c>
      <c r="C1609" s="20">
        <f t="shared" si="926"/>
        <v>7</v>
      </c>
      <c r="D1609" s="249">
        <f>'Appendix J-2'!AH62</f>
        <v>15</v>
      </c>
      <c r="E1609" s="22">
        <f t="shared" si="918"/>
        <v>174.6</v>
      </c>
      <c r="F1609" s="249">
        <f>'Appendix J-2'!AJ62</f>
        <v>2619</v>
      </c>
      <c r="G1609" s="25">
        <f t="shared" si="919"/>
        <v>565.72133638793434</v>
      </c>
      <c r="H1609" s="248">
        <f>'Appendix J-2'!AL62</f>
        <v>1481624.18</v>
      </c>
      <c r="I1609" s="688"/>
      <c r="J1609" s="205"/>
      <c r="N1609" s="453">
        <f t="shared" si="920"/>
        <v>1642</v>
      </c>
      <c r="O1609" s="584">
        <f t="shared" si="925"/>
        <v>3.1407035175879394E-2</v>
      </c>
      <c r="P1609" s="586">
        <f t="shared" si="927"/>
        <v>7</v>
      </c>
      <c r="Q1609" s="452">
        <f t="shared" si="921"/>
        <v>21</v>
      </c>
      <c r="R1609" s="451">
        <f t="shared" si="922"/>
        <v>148</v>
      </c>
      <c r="S1609" s="452">
        <f t="shared" si="923"/>
        <v>3108</v>
      </c>
      <c r="T1609" s="682" t="s">
        <v>610</v>
      </c>
      <c r="U1609" s="683"/>
      <c r="V1609" s="683"/>
      <c r="W1609" s="683"/>
      <c r="X1609" s="683"/>
    </row>
    <row r="1610" spans="1:24" x14ac:dyDescent="0.25">
      <c r="A1610" s="21">
        <f>A$12</f>
        <v>1675</v>
      </c>
      <c r="B1610" s="149">
        <f t="shared" si="924"/>
        <v>2.0097442143727162E-2</v>
      </c>
      <c r="C1610" s="20">
        <f t="shared" si="926"/>
        <v>8</v>
      </c>
      <c r="D1610" s="249">
        <f>'Appendix J-2'!AM62</f>
        <v>15</v>
      </c>
      <c r="E1610" s="22">
        <f t="shared" si="918"/>
        <v>215.73333333333332</v>
      </c>
      <c r="F1610" s="249">
        <f>'Appendix J-2'!AO62</f>
        <v>3236</v>
      </c>
      <c r="G1610" s="25">
        <f t="shared" si="919"/>
        <v>602.5397033374536</v>
      </c>
      <c r="H1610" s="248">
        <f>'Appendix J-2'!AQ62</f>
        <v>1949818.48</v>
      </c>
      <c r="I1610" s="688"/>
      <c r="J1610" s="205"/>
      <c r="N1610" s="453">
        <f t="shared" si="920"/>
        <v>1675</v>
      </c>
      <c r="O1610" s="584">
        <f t="shared" si="925"/>
        <v>2.0097442143727162E-2</v>
      </c>
      <c r="P1610" s="586">
        <f t="shared" si="927"/>
        <v>8</v>
      </c>
      <c r="Q1610" s="452">
        <f t="shared" si="921"/>
        <v>22</v>
      </c>
      <c r="R1610" s="451">
        <f t="shared" si="922"/>
        <v>242.68181818181819</v>
      </c>
      <c r="S1610" s="452">
        <f t="shared" si="923"/>
        <v>5339</v>
      </c>
      <c r="T1610" s="446"/>
      <c r="U1610" s="684" t="s">
        <v>154</v>
      </c>
      <c r="V1610" s="684"/>
      <c r="W1610" s="684" t="s">
        <v>609</v>
      </c>
      <c r="X1610" s="684"/>
    </row>
    <row r="1611" spans="1:24" x14ac:dyDescent="0.25">
      <c r="A1611" s="21">
        <f>A$13</f>
        <v>1739</v>
      </c>
      <c r="B1611" s="149">
        <f t="shared" si="924"/>
        <v>3.8208955223880597E-2</v>
      </c>
      <c r="C1611" s="20">
        <f t="shared" si="926"/>
        <v>9</v>
      </c>
      <c r="D1611" s="249">
        <f>'Appendix J-2'!AR62</f>
        <v>13</v>
      </c>
      <c r="E1611" s="22">
        <f t="shared" si="918"/>
        <v>270</v>
      </c>
      <c r="F1611" s="249">
        <f>'Appendix J-2'!AT62</f>
        <v>3510</v>
      </c>
      <c r="G1611" s="25">
        <f t="shared" si="919"/>
        <v>573.96531908831912</v>
      </c>
      <c r="H1611" s="248">
        <f>'Appendix J-2'!AV62</f>
        <v>2014618.27</v>
      </c>
      <c r="I1611" s="688"/>
      <c r="J1611" s="205"/>
      <c r="N1611" s="453">
        <f t="shared" si="920"/>
        <v>1739</v>
      </c>
      <c r="O1611" s="584">
        <f t="shared" si="925"/>
        <v>3.8208955223880597E-2</v>
      </c>
      <c r="P1611" s="586">
        <f t="shared" si="927"/>
        <v>9</v>
      </c>
      <c r="Q1611" s="452">
        <f t="shared" si="921"/>
        <v>26</v>
      </c>
      <c r="R1611" s="451">
        <f t="shared" si="922"/>
        <v>265.57692307692309</v>
      </c>
      <c r="S1611" s="452">
        <f t="shared" si="923"/>
        <v>6905</v>
      </c>
      <c r="T1611" s="446"/>
      <c r="U1611" s="456" t="s">
        <v>608</v>
      </c>
      <c r="V1611" s="456" t="s">
        <v>578</v>
      </c>
      <c r="W1611" s="456" t="s">
        <v>608</v>
      </c>
      <c r="X1611" s="456" t="s">
        <v>578</v>
      </c>
    </row>
    <row r="1612" spans="1:24" x14ac:dyDescent="0.25">
      <c r="A1612" s="21">
        <f>A$14</f>
        <v>1752</v>
      </c>
      <c r="B1612" s="149">
        <f t="shared" si="924"/>
        <v>7.4755606670500289E-3</v>
      </c>
      <c r="C1612" s="20">
        <f t="shared" si="926"/>
        <v>10</v>
      </c>
      <c r="D1612" s="21">
        <f>AN840</f>
        <v>9</v>
      </c>
      <c r="E1612" s="22">
        <f>IF(TREND($E$1609:$E$1611,$C$1609:$C$1611,C1612)&lt;365,TREND($E$1609:$E$1611,$C$1609:$C$1611,C1612),365)</f>
        <v>315.51111111111112</v>
      </c>
      <c r="F1612" s="21">
        <f t="shared" ref="F1612" si="928">D1612*E1612</f>
        <v>2839.6</v>
      </c>
      <c r="G1612" s="25">
        <f>'DDS Rates for Amend'!BD17</f>
        <v>507.17</v>
      </c>
      <c r="H1612" s="33">
        <f t="shared" ref="H1612" si="929">F1612*G1612</f>
        <v>1440159.932</v>
      </c>
      <c r="I1612" s="688"/>
      <c r="J1612" s="205"/>
      <c r="N1612" s="453">
        <f t="shared" si="920"/>
        <v>1752</v>
      </c>
      <c r="O1612" s="584">
        <f t="shared" si="925"/>
        <v>7.4755606670500289E-3</v>
      </c>
      <c r="P1612" s="586">
        <f t="shared" si="927"/>
        <v>10</v>
      </c>
      <c r="Q1612" s="453">
        <f>ROUND((TREND($Q$1603:$Q$1611,$N$1603:$N$1611,N1612)),0)</f>
        <v>19</v>
      </c>
      <c r="R1612" s="451">
        <f>IF(TREND($R$1609:$R$1611,$P$1609:$P$1611,P1612)&lt;23360,TREND($R$1609:$R$1611,$P$1609:$P$1611,P1612),23360)</f>
        <v>336.32983682983684</v>
      </c>
      <c r="S1612" s="453">
        <f t="shared" ref="S1612:S1617" si="930">Q1612*R1612</f>
        <v>6390.2668997668998</v>
      </c>
      <c r="T1612" s="446">
        <v>10</v>
      </c>
      <c r="U1612" s="457">
        <f>Q1612*$AB$840</f>
        <v>9.5</v>
      </c>
      <c r="V1612" s="457">
        <f>Q1612*$AC$840</f>
        <v>9.5</v>
      </c>
      <c r="W1612" s="457">
        <f>R1612*$AF$840</f>
        <v>170.96563754854847</v>
      </c>
      <c r="X1612" s="457">
        <f>R1612*$AG$840</f>
        <v>165.36419928128836</v>
      </c>
    </row>
    <row r="1613" spans="1:24" x14ac:dyDescent="0.25">
      <c r="A1613" s="21">
        <f>A$15</f>
        <v>1822</v>
      </c>
      <c r="B1613" s="149">
        <f t="shared" si="924"/>
        <v>3.9954337899543377E-2</v>
      </c>
      <c r="C1613" s="20">
        <f t="shared" si="926"/>
        <v>11</v>
      </c>
      <c r="D1613" s="21">
        <f>AQ840</f>
        <v>10</v>
      </c>
      <c r="E1613" s="22">
        <f t="shared" ref="E1613:E1617" si="931">IF(TREND($E$1609:$E$1611,$C$1609:$C$1611,C1613)&lt;365,TREND($E$1609:$E$1611,$C$1609:$C$1611,C1613),365)</f>
        <v>363.21111111111117</v>
      </c>
      <c r="F1613" s="21">
        <f t="shared" ref="F1613:F1617" si="932">D1613*E1613</f>
        <v>3632.1111111111118</v>
      </c>
      <c r="G1613" s="25">
        <f>'DDS Rates for Amend'!BD18</f>
        <v>520.35642000000007</v>
      </c>
      <c r="H1613" s="33">
        <f t="shared" ref="H1613:H1617" si="933">F1613*G1613</f>
        <v>1889992.3348200007</v>
      </c>
      <c r="I1613" s="688"/>
      <c r="J1613" s="205"/>
      <c r="N1613" s="453">
        <f t="shared" si="920"/>
        <v>1822</v>
      </c>
      <c r="O1613" s="584">
        <f t="shared" si="925"/>
        <v>3.9954337899543377E-2</v>
      </c>
      <c r="P1613" s="586">
        <f t="shared" si="927"/>
        <v>11</v>
      </c>
      <c r="Q1613" s="453">
        <f t="shared" ref="Q1613:Q1617" si="934">ROUND((TREND($Q$1603:$Q$1611,$N$1603:$N$1611,N1613)),0)</f>
        <v>22</v>
      </c>
      <c r="R1613" s="451">
        <f t="shared" ref="R1613:R1617" si="935">IF(TREND($R$1609:$R$1611,$P$1609:$P$1611,P1613)&lt;23360,TREND($R$1609:$R$1611,$P$1609:$P$1611,P1613),23360)</f>
        <v>395.11829836829838</v>
      </c>
      <c r="S1613" s="453">
        <f t="shared" si="930"/>
        <v>8692.6025641025644</v>
      </c>
      <c r="T1613" s="446">
        <v>11</v>
      </c>
      <c r="U1613" s="457">
        <f t="shared" ref="U1613:U1617" si="936">Q1613*$AB$840</f>
        <v>11</v>
      </c>
      <c r="V1613" s="457">
        <f t="shared" ref="V1613:V1617" si="937">Q1613*$AC$840</f>
        <v>11</v>
      </c>
      <c r="W1613" s="457">
        <f t="shared" ref="W1613:W1617" si="938">R1613*$AF$840</f>
        <v>200.84941741820816</v>
      </c>
      <c r="X1613" s="457">
        <f t="shared" ref="X1613:X1617" si="939">R1613*$AG$840</f>
        <v>194.26888095009022</v>
      </c>
    </row>
    <row r="1614" spans="1:24" x14ac:dyDescent="0.25">
      <c r="A1614" s="21">
        <f>A$16</f>
        <v>1872</v>
      </c>
      <c r="B1614" s="149">
        <f t="shared" si="924"/>
        <v>2.7442371020856202E-2</v>
      </c>
      <c r="C1614" s="20">
        <f t="shared" si="926"/>
        <v>12</v>
      </c>
      <c r="D1614" s="21">
        <f>AT840</f>
        <v>10</v>
      </c>
      <c r="E1614" s="22">
        <f t="shared" si="931"/>
        <v>365</v>
      </c>
      <c r="F1614" s="21">
        <f t="shared" si="932"/>
        <v>3650</v>
      </c>
      <c r="G1614" s="25">
        <f>'DDS Rates for Amend'!BD19</f>
        <v>533.88568692000013</v>
      </c>
      <c r="H1614" s="33">
        <f t="shared" si="933"/>
        <v>1948682.7572580006</v>
      </c>
      <c r="I1614" s="688"/>
      <c r="J1614" s="205"/>
      <c r="N1614" s="453">
        <f t="shared" si="920"/>
        <v>1872</v>
      </c>
      <c r="O1614" s="584">
        <f t="shared" si="925"/>
        <v>2.7442371020856202E-2</v>
      </c>
      <c r="P1614" s="586">
        <f t="shared" si="927"/>
        <v>12</v>
      </c>
      <c r="Q1614" s="453">
        <f t="shared" si="934"/>
        <v>24</v>
      </c>
      <c r="R1614" s="451">
        <f t="shared" si="935"/>
        <v>453.90675990675982</v>
      </c>
      <c r="S1614" s="453">
        <f t="shared" si="930"/>
        <v>10893.762237762236</v>
      </c>
      <c r="T1614" s="446">
        <v>12</v>
      </c>
      <c r="U1614" s="457">
        <f t="shared" si="936"/>
        <v>12</v>
      </c>
      <c r="V1614" s="457">
        <f t="shared" si="937"/>
        <v>12</v>
      </c>
      <c r="W1614" s="457">
        <f t="shared" si="938"/>
        <v>230.73319728786777</v>
      </c>
      <c r="X1614" s="457">
        <f t="shared" si="939"/>
        <v>223.17356261889205</v>
      </c>
    </row>
    <row r="1615" spans="1:24" x14ac:dyDescent="0.25">
      <c r="A1615" s="21">
        <f>A$17</f>
        <v>1902</v>
      </c>
      <c r="B1615" s="149">
        <f t="shared" si="924"/>
        <v>1.6025641025641024E-2</v>
      </c>
      <c r="C1615" s="20">
        <f t="shared" si="926"/>
        <v>13</v>
      </c>
      <c r="D1615" s="21">
        <f>AW840</f>
        <v>10</v>
      </c>
      <c r="E1615" s="22">
        <f t="shared" si="931"/>
        <v>365</v>
      </c>
      <c r="F1615" s="21">
        <f t="shared" si="932"/>
        <v>3650</v>
      </c>
      <c r="G1615" s="25">
        <f>'DDS Rates for Amend'!BD20</f>
        <v>547.76671477992011</v>
      </c>
      <c r="H1615" s="33">
        <f t="shared" si="933"/>
        <v>1999348.5089467084</v>
      </c>
      <c r="I1615" s="688"/>
      <c r="J1615" s="205"/>
      <c r="N1615" s="453">
        <f t="shared" si="920"/>
        <v>1902</v>
      </c>
      <c r="O1615" s="584">
        <f t="shared" si="925"/>
        <v>1.6025641025641024E-2</v>
      </c>
      <c r="P1615" s="586">
        <f t="shared" si="927"/>
        <v>13</v>
      </c>
      <c r="Q1615" s="453">
        <f t="shared" si="934"/>
        <v>26</v>
      </c>
      <c r="R1615" s="451">
        <f t="shared" si="935"/>
        <v>512.69522144522136</v>
      </c>
      <c r="S1615" s="453">
        <f t="shared" si="930"/>
        <v>13330.075757575756</v>
      </c>
      <c r="T1615" s="446">
        <v>13</v>
      </c>
      <c r="U1615" s="457">
        <f t="shared" si="936"/>
        <v>13</v>
      </c>
      <c r="V1615" s="457">
        <f t="shared" si="937"/>
        <v>13</v>
      </c>
      <c r="W1615" s="457">
        <f t="shared" si="938"/>
        <v>260.61697715752746</v>
      </c>
      <c r="X1615" s="457">
        <f t="shared" si="939"/>
        <v>252.07824428769393</v>
      </c>
    </row>
    <row r="1616" spans="1:24" x14ac:dyDescent="0.25">
      <c r="A1616" s="21">
        <f>A$18</f>
        <v>1932</v>
      </c>
      <c r="B1616" s="149">
        <f t="shared" si="924"/>
        <v>1.5772870662460567E-2</v>
      </c>
      <c r="C1616" s="20">
        <f t="shared" si="926"/>
        <v>14</v>
      </c>
      <c r="D1616" s="21">
        <f>AZ840</f>
        <v>10</v>
      </c>
      <c r="E1616" s="22">
        <f t="shared" si="931"/>
        <v>365</v>
      </c>
      <c r="F1616" s="21">
        <f t="shared" si="932"/>
        <v>3650</v>
      </c>
      <c r="G1616" s="25">
        <f>'DDS Rates for Amend'!BD21</f>
        <v>562.00864936419805</v>
      </c>
      <c r="H1616" s="33">
        <f t="shared" si="933"/>
        <v>2051331.570179323</v>
      </c>
      <c r="I1616" s="688"/>
      <c r="J1616" s="205"/>
      <c r="N1616" s="453">
        <f t="shared" si="920"/>
        <v>1932</v>
      </c>
      <c r="O1616" s="584">
        <f t="shared" si="925"/>
        <v>1.5772870662460567E-2</v>
      </c>
      <c r="P1616" s="586">
        <f t="shared" si="927"/>
        <v>14</v>
      </c>
      <c r="Q1616" s="453">
        <f t="shared" si="934"/>
        <v>27</v>
      </c>
      <c r="R1616" s="451">
        <f t="shared" si="935"/>
        <v>571.48368298368291</v>
      </c>
      <c r="S1616" s="453">
        <f t="shared" si="930"/>
        <v>15430.059440559438</v>
      </c>
      <c r="T1616" s="446">
        <v>14</v>
      </c>
      <c r="U1616" s="457">
        <f t="shared" si="936"/>
        <v>13.5</v>
      </c>
      <c r="V1616" s="457">
        <f t="shared" si="937"/>
        <v>13.5</v>
      </c>
      <c r="W1616" s="457">
        <f t="shared" si="938"/>
        <v>290.50075702718709</v>
      </c>
      <c r="X1616" s="457">
        <f t="shared" si="939"/>
        <v>280.98292595649582</v>
      </c>
    </row>
    <row r="1617" spans="1:24" x14ac:dyDescent="0.25">
      <c r="A1617" s="21">
        <f>A$19</f>
        <v>1962</v>
      </c>
      <c r="B1617" s="149">
        <f t="shared" si="924"/>
        <v>1.5527950310559006E-2</v>
      </c>
      <c r="C1617" s="20">
        <f t="shared" si="926"/>
        <v>15</v>
      </c>
      <c r="D1617" s="21">
        <f>BC840</f>
        <v>10</v>
      </c>
      <c r="E1617" s="22">
        <f t="shared" si="931"/>
        <v>365</v>
      </c>
      <c r="F1617" s="21">
        <f t="shared" si="932"/>
        <v>3650</v>
      </c>
      <c r="G1617" s="25">
        <f>'DDS Rates for Amend'!BD22</f>
        <v>576.62087424766719</v>
      </c>
      <c r="H1617" s="33">
        <f t="shared" si="933"/>
        <v>2104666.1910039852</v>
      </c>
      <c r="I1617" s="689"/>
      <c r="J1617" s="205"/>
      <c r="K1617" s="285">
        <f>SUM(H1603:H1617)</f>
        <v>16880242.224208016</v>
      </c>
      <c r="L1617" s="17">
        <f>IF(K1617='Appendix J-2'!CD62,0,error)</f>
        <v>0</v>
      </c>
      <c r="N1617" s="453">
        <f t="shared" si="920"/>
        <v>1962</v>
      </c>
      <c r="O1617" s="584">
        <f t="shared" si="925"/>
        <v>1.5527950310559006E-2</v>
      </c>
      <c r="P1617" s="586">
        <f t="shared" si="927"/>
        <v>15</v>
      </c>
      <c r="Q1617" s="453">
        <f t="shared" si="934"/>
        <v>28</v>
      </c>
      <c r="R1617" s="451">
        <f t="shared" si="935"/>
        <v>630.27214452214446</v>
      </c>
      <c r="S1617" s="453">
        <f t="shared" si="930"/>
        <v>17647.620046620046</v>
      </c>
      <c r="T1617" s="446">
        <v>15</v>
      </c>
      <c r="U1617" s="457">
        <f t="shared" si="936"/>
        <v>14</v>
      </c>
      <c r="V1617" s="457">
        <f t="shared" si="937"/>
        <v>14</v>
      </c>
      <c r="W1617" s="457">
        <f t="shared" si="938"/>
        <v>320.38453689684678</v>
      </c>
      <c r="X1617" s="457">
        <f t="shared" si="939"/>
        <v>309.88760762529768</v>
      </c>
    </row>
    <row r="1618" spans="1:24" x14ac:dyDescent="0.25">
      <c r="N1618" s="446"/>
      <c r="O1618" s="446"/>
      <c r="P1618" s="446"/>
      <c r="Q1618" s="446"/>
      <c r="R1618" s="446"/>
      <c r="S1618" s="446"/>
      <c r="T1618" s="446"/>
      <c r="U1618" s="446"/>
      <c r="V1618" s="446"/>
      <c r="W1618" s="446"/>
      <c r="X1618" s="446"/>
    </row>
    <row r="1619" spans="1:24" ht="15" customHeight="1" x14ac:dyDescent="0.25">
      <c r="A1619" s="271" t="s">
        <v>51</v>
      </c>
      <c r="B1619" s="272"/>
      <c r="C1619" s="272"/>
      <c r="D1619" s="298" t="str">
        <f>'Appendix J-2'!B77</f>
        <v>Assistance</v>
      </c>
      <c r="E1619" s="292" t="str">
        <f>'Appendix J-2'!C77</f>
        <v>1 day</v>
      </c>
      <c r="F1619" s="690"/>
      <c r="G1619" s="690"/>
      <c r="H1619" s="690"/>
      <c r="I1619" s="687" t="s">
        <v>1112</v>
      </c>
      <c r="J1619" s="205"/>
      <c r="N1619" s="87" t="s">
        <v>1065</v>
      </c>
      <c r="T1619" s="90"/>
    </row>
    <row r="1620" spans="1:24" x14ac:dyDescent="0.25">
      <c r="A1620" s="147" t="s">
        <v>26</v>
      </c>
      <c r="B1620" s="147" t="s">
        <v>27</v>
      </c>
      <c r="C1620" s="51" t="s">
        <v>166</v>
      </c>
      <c r="D1620" s="91" t="s">
        <v>154</v>
      </c>
      <c r="E1620" s="89" t="s">
        <v>155</v>
      </c>
      <c r="F1620" s="34" t="s">
        <v>158</v>
      </c>
      <c r="G1620" s="35" t="s">
        <v>156</v>
      </c>
      <c r="H1620" s="51" t="s">
        <v>157</v>
      </c>
      <c r="I1620" s="688"/>
      <c r="J1620" s="205"/>
      <c r="N1620" s="30" t="s">
        <v>604</v>
      </c>
      <c r="O1620" s="407" t="s">
        <v>1064</v>
      </c>
    </row>
    <row r="1621" spans="1:24" x14ac:dyDescent="0.25">
      <c r="A1621" s="21">
        <f>A$5</f>
        <v>1182</v>
      </c>
      <c r="B1621" s="148"/>
      <c r="C1621" s="144">
        <v>1</v>
      </c>
      <c r="D1621" s="219">
        <f>'linked - DO NOT USE or DELETE'!D498</f>
        <v>0</v>
      </c>
      <c r="E1621" s="22">
        <f t="shared" ref="E1621:E1629" si="940">IF(F1621=0,0,F1621/D1621)</f>
        <v>0</v>
      </c>
      <c r="F1621" s="210">
        <f>'linked - DO NOT USE or DELETE'!F498</f>
        <v>0</v>
      </c>
      <c r="G1621" s="25" t="e">
        <f t="shared" ref="G1621:G1629" si="941">H1621/F1621</f>
        <v>#DIV/0!</v>
      </c>
      <c r="H1621" s="211">
        <f>'linked - DO NOT USE or DELETE'!H498</f>
        <v>0</v>
      </c>
      <c r="I1621" s="688"/>
      <c r="J1621" s="543" t="s">
        <v>1060</v>
      </c>
      <c r="N1621" s="90">
        <f>SUM(D1621,D1603,D1549,D1531,D1513,D1495,D1477,D1459,D1441,D1423,D1405,D1387,D1369,D1351,D1333,D1315,D1063,D1045,D1027,D1009,D991,D973,D955,D937,D919,D901,D883,D865,D847,D829)</f>
        <v>671</v>
      </c>
      <c r="O1621" s="411">
        <f>N1621/A1621</f>
        <v>0.56768189509306266</v>
      </c>
    </row>
    <row r="1622" spans="1:24" x14ac:dyDescent="0.25">
      <c r="A1622" s="21">
        <f>A$6</f>
        <v>1288</v>
      </c>
      <c r="B1622" s="149">
        <f>(A1622-A1621)/A1621</f>
        <v>8.9678510998307953E-2</v>
      </c>
      <c r="C1622" s="52">
        <v>2</v>
      </c>
      <c r="D1622" s="219">
        <f>'linked - DO NOT USE or DELETE'!I498</f>
        <v>0</v>
      </c>
      <c r="E1622" s="22">
        <f t="shared" si="940"/>
        <v>0</v>
      </c>
      <c r="F1622" s="210">
        <f>'linked - DO NOT USE or DELETE'!K498</f>
        <v>0</v>
      </c>
      <c r="G1622" s="25" t="e">
        <f t="shared" si="941"/>
        <v>#DIV/0!</v>
      </c>
      <c r="H1622" s="211">
        <f>'linked - DO NOT USE or DELETE'!M498</f>
        <v>0</v>
      </c>
      <c r="I1622" s="688"/>
      <c r="J1622" s="543" t="s">
        <v>1061</v>
      </c>
      <c r="N1622" s="90">
        <f t="shared" ref="N1622:N1635" si="942">SUM(D1622,D1604,D1550,D1532,D1514,D1496,D1478,D1460,D1442,D1424,D1406,D1388,D1370,D1352,D1334,D1316,D1064,D1046,D1028,D1010,D992,D974,D956,D938,D920,D902,D884,D866,D848,D830)</f>
        <v>724</v>
      </c>
      <c r="O1622" s="411">
        <f t="shared" ref="O1622:O1635" si="943">N1622/A1622</f>
        <v>0.56211180124223603</v>
      </c>
    </row>
    <row r="1623" spans="1:24" x14ac:dyDescent="0.25">
      <c r="A1623" s="21">
        <f>A$7</f>
        <v>1495</v>
      </c>
      <c r="B1623" s="149">
        <f t="shared" ref="B1623:B1635" si="944">(A1623-A1622)/A1622</f>
        <v>0.16071428571428573</v>
      </c>
      <c r="C1623" s="52">
        <v>3</v>
      </c>
      <c r="D1623" s="219">
        <f>'linked - DO NOT USE or DELETE'!N498</f>
        <v>0</v>
      </c>
      <c r="E1623" s="22">
        <f t="shared" si="940"/>
        <v>0</v>
      </c>
      <c r="F1623" s="210">
        <f>'linked - DO NOT USE or DELETE'!P498</f>
        <v>0</v>
      </c>
      <c r="G1623" s="25" t="e">
        <f t="shared" si="941"/>
        <v>#DIV/0!</v>
      </c>
      <c r="H1623" s="33">
        <f>'linked - DO NOT USE or DELETE'!R498</f>
        <v>0</v>
      </c>
      <c r="I1623" s="688"/>
      <c r="J1623" s="543" t="s">
        <v>1062</v>
      </c>
      <c r="N1623" s="90">
        <f t="shared" si="942"/>
        <v>868</v>
      </c>
      <c r="O1623" s="411">
        <f t="shared" si="943"/>
        <v>0.58060200668896322</v>
      </c>
    </row>
    <row r="1624" spans="1:24" x14ac:dyDescent="0.25">
      <c r="A1624" s="21">
        <f>A$8</f>
        <v>1484</v>
      </c>
      <c r="B1624" s="149">
        <f t="shared" si="944"/>
        <v>-7.3578595317725752E-3</v>
      </c>
      <c r="C1624" s="52">
        <f t="shared" ref="C1624:C1635" si="945">C1623+1</f>
        <v>4</v>
      </c>
      <c r="D1624" s="247">
        <f>'Appendix J-2'!S77</f>
        <v>0</v>
      </c>
      <c r="E1624" s="22">
        <f t="shared" si="940"/>
        <v>0</v>
      </c>
      <c r="F1624" s="247">
        <f>'Appendix J-2'!U77</f>
        <v>0</v>
      </c>
      <c r="G1624" s="25" t="e">
        <f t="shared" si="941"/>
        <v>#DIV/0!</v>
      </c>
      <c r="H1624" s="248">
        <f>'Appendix J-2'!W77</f>
        <v>0</v>
      </c>
      <c r="I1624" s="688"/>
      <c r="J1624" s="543" t="s">
        <v>18</v>
      </c>
      <c r="N1624" s="90">
        <f t="shared" si="942"/>
        <v>962</v>
      </c>
      <c r="O1624" s="411">
        <f t="shared" si="943"/>
        <v>0.64824797843665771</v>
      </c>
    </row>
    <row r="1625" spans="1:24" x14ac:dyDescent="0.25">
      <c r="A1625" s="21">
        <f>A$9</f>
        <v>1528</v>
      </c>
      <c r="B1625" s="149">
        <f t="shared" si="944"/>
        <v>2.9649595687331536E-2</v>
      </c>
      <c r="C1625" s="52">
        <f t="shared" si="945"/>
        <v>5</v>
      </c>
      <c r="D1625" s="249">
        <f>'Appendix J-2'!X77</f>
        <v>0</v>
      </c>
      <c r="E1625" s="22">
        <f t="shared" si="940"/>
        <v>0</v>
      </c>
      <c r="F1625" s="249">
        <f>'Appendix J-2'!Z77</f>
        <v>0</v>
      </c>
      <c r="G1625" s="25" t="e">
        <f t="shared" si="941"/>
        <v>#DIV/0!</v>
      </c>
      <c r="H1625" s="248">
        <f>'Appendix J-2'!AB77</f>
        <v>0</v>
      </c>
      <c r="I1625" s="688"/>
      <c r="J1625" s="543" t="s">
        <v>44</v>
      </c>
      <c r="N1625" s="90">
        <f t="shared" si="942"/>
        <v>950</v>
      </c>
      <c r="O1625" s="411">
        <f t="shared" si="943"/>
        <v>0.62172774869109948</v>
      </c>
    </row>
    <row r="1626" spans="1:24" x14ac:dyDescent="0.25">
      <c r="A1626" s="21">
        <f>A$10</f>
        <v>1592</v>
      </c>
      <c r="B1626" s="149">
        <f t="shared" si="944"/>
        <v>4.1884816753926704E-2</v>
      </c>
      <c r="C1626" s="20">
        <f t="shared" si="945"/>
        <v>6</v>
      </c>
      <c r="D1626" s="249">
        <f>'Appendix J-2'!AC77</f>
        <v>0</v>
      </c>
      <c r="E1626" s="22">
        <f t="shared" si="940"/>
        <v>0</v>
      </c>
      <c r="F1626" s="249">
        <f>'Appendix J-2'!AE77</f>
        <v>0</v>
      </c>
      <c r="G1626" s="25" t="e">
        <f t="shared" si="941"/>
        <v>#DIV/0!</v>
      </c>
      <c r="H1626" s="248">
        <f>'Appendix J-2'!AG77</f>
        <v>0</v>
      </c>
      <c r="I1626" s="688"/>
      <c r="J1626" s="543" t="s">
        <v>1063</v>
      </c>
      <c r="N1626" s="90">
        <f t="shared" si="942"/>
        <v>1624</v>
      </c>
      <c r="O1626" s="411">
        <f t="shared" si="943"/>
        <v>1.0201005025125629</v>
      </c>
    </row>
    <row r="1627" spans="1:24" x14ac:dyDescent="0.25">
      <c r="A1627" s="21">
        <f>A$11</f>
        <v>1642</v>
      </c>
      <c r="B1627" s="149">
        <f t="shared" si="944"/>
        <v>3.1407035175879394E-2</v>
      </c>
      <c r="C1627" s="20">
        <f t="shared" si="945"/>
        <v>7</v>
      </c>
      <c r="D1627" s="249">
        <f>'Appendix J-2'!AH77</f>
        <v>6</v>
      </c>
      <c r="E1627" s="22">
        <f t="shared" si="940"/>
        <v>81.5</v>
      </c>
      <c r="F1627" s="249">
        <f>'Appendix J-2'!AJ77</f>
        <v>489</v>
      </c>
      <c r="G1627" s="25">
        <f t="shared" si="941"/>
        <v>602.19325153374234</v>
      </c>
      <c r="H1627" s="248">
        <f>'Appendix J-2'!AL77</f>
        <v>294472.5</v>
      </c>
      <c r="I1627" s="688"/>
      <c r="J1627" s="543" t="s">
        <v>506</v>
      </c>
      <c r="N1627" s="90">
        <f t="shared" si="942"/>
        <v>1859</v>
      </c>
      <c r="O1627" s="411">
        <f t="shared" si="943"/>
        <v>1.1321559074299634</v>
      </c>
    </row>
    <row r="1628" spans="1:24" x14ac:dyDescent="0.25">
      <c r="A1628" s="21">
        <f>A$12</f>
        <v>1675</v>
      </c>
      <c r="B1628" s="149">
        <f t="shared" si="944"/>
        <v>2.0097442143727162E-2</v>
      </c>
      <c r="C1628" s="20">
        <f t="shared" si="945"/>
        <v>8</v>
      </c>
      <c r="D1628" s="249">
        <f>'Appendix J-2'!AM77</f>
        <v>7</v>
      </c>
      <c r="E1628" s="22">
        <f t="shared" si="940"/>
        <v>300.42857142857144</v>
      </c>
      <c r="F1628" s="249">
        <f>'Appendix J-2'!AO77</f>
        <v>2103</v>
      </c>
      <c r="G1628" s="25">
        <f t="shared" si="941"/>
        <v>622.88</v>
      </c>
      <c r="H1628" s="248">
        <f>'Appendix J-2'!AQ77</f>
        <v>1309916.6399999999</v>
      </c>
      <c r="I1628" s="688"/>
      <c r="J1628" s="543" t="s">
        <v>507</v>
      </c>
      <c r="N1628" s="90">
        <f t="shared" si="942"/>
        <v>1062</v>
      </c>
      <c r="O1628" s="411">
        <f t="shared" si="943"/>
        <v>0.63402985074626861</v>
      </c>
    </row>
    <row r="1629" spans="1:24" x14ac:dyDescent="0.25">
      <c r="A1629" s="21">
        <f>A$13</f>
        <v>1739</v>
      </c>
      <c r="B1629" s="149">
        <f t="shared" si="944"/>
        <v>3.8208955223880597E-2</v>
      </c>
      <c r="C1629" s="20">
        <f t="shared" si="945"/>
        <v>9</v>
      </c>
      <c r="D1629" s="249">
        <f>'Appendix J-2'!AR77</f>
        <v>13</v>
      </c>
      <c r="E1629" s="22">
        <f t="shared" si="940"/>
        <v>261.15384615384613</v>
      </c>
      <c r="F1629" s="249">
        <f>'Appendix J-2'!AT77</f>
        <v>3395</v>
      </c>
      <c r="G1629" s="25">
        <f t="shared" si="941"/>
        <v>601.1065036818851</v>
      </c>
      <c r="H1629" s="248">
        <f>'Appendix J-2'!AV77</f>
        <v>2040756.58</v>
      </c>
      <c r="I1629" s="688"/>
      <c r="J1629" s="543" t="s">
        <v>508</v>
      </c>
      <c r="N1629" s="90">
        <f t="shared" si="942"/>
        <v>1189</v>
      </c>
      <c r="O1629" s="411">
        <f t="shared" si="943"/>
        <v>0.68372627947096032</v>
      </c>
    </row>
    <row r="1630" spans="1:24" x14ac:dyDescent="0.25">
      <c r="A1630" s="21">
        <f>A$14</f>
        <v>1752</v>
      </c>
      <c r="B1630" s="149">
        <f t="shared" si="944"/>
        <v>7.4755606670500289E-3</v>
      </c>
      <c r="C1630" s="20">
        <f t="shared" si="945"/>
        <v>10</v>
      </c>
      <c r="D1630" s="21">
        <f>AO840</f>
        <v>9</v>
      </c>
      <c r="E1630" s="22">
        <f>IF(TREND($E$1627:$E$1629,$C$1627:$C$1629,C1630)&lt;365,TREND($E$1627:$E$1629,$C$1627:$C$1629,C1630),365)</f>
        <v>365</v>
      </c>
      <c r="F1630" s="21">
        <f t="shared" ref="F1630" si="946">D1630*E1630</f>
        <v>3285</v>
      </c>
      <c r="G1630" s="24">
        <f>'DDS Rates for Amend'!BS17</f>
        <v>563.14</v>
      </c>
      <c r="H1630" s="33">
        <f t="shared" ref="H1630" si="947">F1630*G1630</f>
        <v>1849914.9</v>
      </c>
      <c r="I1630" s="688"/>
      <c r="J1630" s="543" t="s">
        <v>510</v>
      </c>
      <c r="N1630" s="90">
        <f>SUM(D1630,D1612,D1558,D1540,D1522,D1504,D1486,D1468,D1450,D1432,D1414,D1396,D1378,D1360,D1342,D1324,D1072,D1054,D1036,D1018,D1000,D982,D964,D946,D928,D910,D892,D874,D856,D838)</f>
        <v>932</v>
      </c>
      <c r="O1630" s="411">
        <f t="shared" si="943"/>
        <v>0.53196347031963476</v>
      </c>
      <c r="P1630" s="589">
        <f>ROUND(A1630*Q1630,0)</f>
        <v>832</v>
      </c>
      <c r="Q1630" s="594">
        <v>0.47499999999999998</v>
      </c>
    </row>
    <row r="1631" spans="1:24" x14ac:dyDescent="0.25">
      <c r="A1631" s="21">
        <f>A$15</f>
        <v>1822</v>
      </c>
      <c r="B1631" s="149">
        <f t="shared" si="944"/>
        <v>3.9954337899543377E-2</v>
      </c>
      <c r="C1631" s="20">
        <f t="shared" si="945"/>
        <v>11</v>
      </c>
      <c r="D1631" s="21">
        <f>AR840</f>
        <v>10</v>
      </c>
      <c r="E1631" s="22">
        <f t="shared" ref="E1631:E1635" si="948">IF(TREND($E$1627:$E$1629,$C$1627:$C$1629,C1631)&lt;365,TREND($E$1627:$E$1629,$C$1627:$C$1629,C1631),365)</f>
        <v>365</v>
      </c>
      <c r="F1631" s="21">
        <f t="shared" ref="F1631:F1635" si="949">D1631*E1631</f>
        <v>3650</v>
      </c>
      <c r="G1631" s="24">
        <f>'DDS Rates for Amend'!BS18</f>
        <v>577.78164000000004</v>
      </c>
      <c r="H1631" s="33">
        <f t="shared" ref="H1631:H1635" si="950">F1631*G1631</f>
        <v>2108902.986</v>
      </c>
      <c r="I1631" s="688"/>
      <c r="J1631" s="543" t="s">
        <v>511</v>
      </c>
      <c r="N1631" s="90">
        <f t="shared" si="942"/>
        <v>872</v>
      </c>
      <c r="O1631" s="411">
        <f t="shared" si="943"/>
        <v>0.47859495060373214</v>
      </c>
      <c r="P1631" s="589">
        <f t="shared" ref="P1631:P1635" si="951">ROUND(A1631*Q1631,0)</f>
        <v>865</v>
      </c>
      <c r="Q1631" s="594">
        <v>0.47499999999999998</v>
      </c>
    </row>
    <row r="1632" spans="1:24" x14ac:dyDescent="0.25">
      <c r="A1632" s="21">
        <f>A$16</f>
        <v>1872</v>
      </c>
      <c r="B1632" s="149">
        <f t="shared" si="944"/>
        <v>2.7442371020856202E-2</v>
      </c>
      <c r="C1632" s="20">
        <f t="shared" si="945"/>
        <v>12</v>
      </c>
      <c r="D1632" s="21">
        <f>AU840</f>
        <v>10</v>
      </c>
      <c r="E1632" s="22">
        <f t="shared" si="948"/>
        <v>365</v>
      </c>
      <c r="F1632" s="21">
        <f t="shared" si="949"/>
        <v>3650</v>
      </c>
      <c r="G1632" s="24">
        <f>'DDS Rates for Amend'!BS19</f>
        <v>592.80396264000001</v>
      </c>
      <c r="H1632" s="33">
        <f t="shared" si="950"/>
        <v>2163734.4636360002</v>
      </c>
      <c r="I1632" s="688"/>
      <c r="J1632" s="543" t="s">
        <v>512</v>
      </c>
      <c r="N1632" s="90">
        <f t="shared" si="942"/>
        <v>895</v>
      </c>
      <c r="O1632" s="411">
        <f t="shared" si="943"/>
        <v>0.47809829059829062</v>
      </c>
      <c r="P1632" s="589">
        <f t="shared" si="951"/>
        <v>889</v>
      </c>
      <c r="Q1632" s="594">
        <v>0.47499999999999998</v>
      </c>
    </row>
    <row r="1633" spans="1:17" x14ac:dyDescent="0.25">
      <c r="A1633" s="21">
        <f>A$17</f>
        <v>1902</v>
      </c>
      <c r="B1633" s="149">
        <f t="shared" si="944"/>
        <v>1.6025641025641024E-2</v>
      </c>
      <c r="C1633" s="20">
        <f t="shared" si="945"/>
        <v>13</v>
      </c>
      <c r="D1633" s="21">
        <f>AX840</f>
        <v>10</v>
      </c>
      <c r="E1633" s="22">
        <f t="shared" si="948"/>
        <v>365</v>
      </c>
      <c r="F1633" s="21">
        <f t="shared" si="949"/>
        <v>3650</v>
      </c>
      <c r="G1633" s="24">
        <f>'DDS Rates for Amend'!BS20</f>
        <v>608.21686566864003</v>
      </c>
      <c r="H1633" s="33">
        <f t="shared" si="950"/>
        <v>2219991.559690536</v>
      </c>
      <c r="I1633" s="688"/>
      <c r="J1633" s="543" t="s">
        <v>513</v>
      </c>
      <c r="N1633" s="90">
        <f t="shared" si="942"/>
        <v>907</v>
      </c>
      <c r="O1633" s="411">
        <f t="shared" si="943"/>
        <v>0.47686645636172448</v>
      </c>
      <c r="P1633" s="589">
        <f t="shared" si="951"/>
        <v>903</v>
      </c>
      <c r="Q1633" s="594">
        <v>0.47499999999999998</v>
      </c>
    </row>
    <row r="1634" spans="1:17" x14ac:dyDescent="0.25">
      <c r="A1634" s="21">
        <f>A$18</f>
        <v>1932</v>
      </c>
      <c r="B1634" s="149">
        <f t="shared" si="944"/>
        <v>1.5772870662460567E-2</v>
      </c>
      <c r="C1634" s="20">
        <f t="shared" si="945"/>
        <v>14</v>
      </c>
      <c r="D1634" s="21">
        <f>BA840</f>
        <v>10</v>
      </c>
      <c r="E1634" s="22">
        <f t="shared" si="948"/>
        <v>365</v>
      </c>
      <c r="F1634" s="21">
        <f t="shared" si="949"/>
        <v>3650</v>
      </c>
      <c r="G1634" s="24">
        <f>'DDS Rates for Amend'!BS21</f>
        <v>624.03050417602469</v>
      </c>
      <c r="H1634" s="33">
        <f t="shared" si="950"/>
        <v>2277711.3402424902</v>
      </c>
      <c r="I1634" s="688"/>
      <c r="J1634" s="543" t="s">
        <v>514</v>
      </c>
      <c r="N1634" s="90">
        <f t="shared" si="942"/>
        <v>921</v>
      </c>
      <c r="O1634" s="411">
        <f t="shared" si="943"/>
        <v>0.47670807453416147</v>
      </c>
      <c r="P1634" s="589">
        <f t="shared" si="951"/>
        <v>918</v>
      </c>
      <c r="Q1634" s="594">
        <v>0.47499999999999998</v>
      </c>
    </row>
    <row r="1635" spans="1:17" x14ac:dyDescent="0.25">
      <c r="A1635" s="21">
        <f>A$19</f>
        <v>1962</v>
      </c>
      <c r="B1635" s="149">
        <f t="shared" si="944"/>
        <v>1.5527950310559006E-2</v>
      </c>
      <c r="C1635" s="20">
        <f t="shared" si="945"/>
        <v>15</v>
      </c>
      <c r="D1635" s="21">
        <f>BD840</f>
        <v>10</v>
      </c>
      <c r="E1635" s="22">
        <f t="shared" si="948"/>
        <v>365</v>
      </c>
      <c r="F1635" s="21">
        <f t="shared" si="949"/>
        <v>3650</v>
      </c>
      <c r="G1635" s="24">
        <f>'DDS Rates for Amend'!BS22</f>
        <v>640.25529728460128</v>
      </c>
      <c r="H1635" s="33">
        <f t="shared" si="950"/>
        <v>2336931.8350887946</v>
      </c>
      <c r="I1635" s="689"/>
      <c r="J1635" s="543" t="s">
        <v>515</v>
      </c>
      <c r="K1635" s="285">
        <f>SUM(H1621:H1635)</f>
        <v>16602332.804657819</v>
      </c>
      <c r="L1635" s="17">
        <f>IF(K1635='Appendix J-2'!CD77,0,error)</f>
        <v>0</v>
      </c>
      <c r="N1635" s="90">
        <f t="shared" si="942"/>
        <v>937</v>
      </c>
      <c r="O1635" s="411">
        <f t="shared" si="943"/>
        <v>0.47757390417940876</v>
      </c>
      <c r="P1635" s="589">
        <f t="shared" si="951"/>
        <v>932</v>
      </c>
      <c r="Q1635" s="594">
        <v>0.47499999999999998</v>
      </c>
    </row>
    <row r="1637" spans="1:17" x14ac:dyDescent="0.25">
      <c r="A1637" s="295" t="s">
        <v>343</v>
      </c>
      <c r="B1637" s="296"/>
      <c r="C1637" s="296"/>
      <c r="D1637" s="296"/>
      <c r="E1637" s="297" t="str">
        <f>'Appendix J-2'!C97</f>
        <v>15 minutes</v>
      </c>
      <c r="F1637" s="690"/>
      <c r="G1637" s="690"/>
      <c r="H1637" s="690"/>
      <c r="I1637" s="687" t="s">
        <v>1134</v>
      </c>
      <c r="J1637" s="565"/>
    </row>
    <row r="1638" spans="1:17" x14ac:dyDescent="0.25">
      <c r="A1638" s="147" t="s">
        <v>26</v>
      </c>
      <c r="B1638" s="147" t="s">
        <v>27</v>
      </c>
      <c r="C1638" s="51" t="s">
        <v>166</v>
      </c>
      <c r="D1638" s="91" t="s">
        <v>154</v>
      </c>
      <c r="E1638" s="89" t="s">
        <v>155</v>
      </c>
      <c r="F1638" s="34" t="s">
        <v>158</v>
      </c>
      <c r="G1638" s="35" t="s">
        <v>156</v>
      </c>
      <c r="H1638" s="51" t="s">
        <v>157</v>
      </c>
      <c r="I1638" s="688"/>
      <c r="J1638" s="205"/>
    </row>
    <row r="1639" spans="1:17" x14ac:dyDescent="0.25">
      <c r="A1639" s="21">
        <f>A$5</f>
        <v>1182</v>
      </c>
      <c r="B1639" s="148"/>
      <c r="C1639" s="144">
        <v>1</v>
      </c>
      <c r="D1639" s="210">
        <f>'linked - DO NOT USE or DELETE'!D511</f>
        <v>0</v>
      </c>
      <c r="E1639" s="22">
        <f t="shared" ref="E1639:E1647" si="952">IF(F1639=0,0,F1639/D1639)</f>
        <v>0</v>
      </c>
      <c r="F1639" s="210">
        <f>'linked - DO NOT USE or DELETE'!F511</f>
        <v>0</v>
      </c>
      <c r="G1639" s="25" t="e">
        <f t="shared" ref="G1639:G1647" si="953">H1639/F1639</f>
        <v>#DIV/0!</v>
      </c>
      <c r="H1639" s="211">
        <f>'linked - DO NOT USE or DELETE'!H511</f>
        <v>0</v>
      </c>
      <c r="I1639" s="688"/>
      <c r="J1639" s="205"/>
    </row>
    <row r="1640" spans="1:17" x14ac:dyDescent="0.25">
      <c r="A1640" s="21">
        <f>A$6</f>
        <v>1288</v>
      </c>
      <c r="B1640" s="149">
        <f>(A1640-A1639)/A1639</f>
        <v>8.9678510998307953E-2</v>
      </c>
      <c r="C1640" s="52">
        <v>2</v>
      </c>
      <c r="D1640" s="210">
        <f>'linked - DO NOT USE or DELETE'!I511</f>
        <v>0</v>
      </c>
      <c r="E1640" s="22">
        <f t="shared" si="952"/>
        <v>0</v>
      </c>
      <c r="F1640" s="210">
        <f>'linked - DO NOT USE or DELETE'!K511</f>
        <v>0</v>
      </c>
      <c r="G1640" s="25" t="e">
        <f t="shared" si="953"/>
        <v>#DIV/0!</v>
      </c>
      <c r="H1640" s="211">
        <f>'linked - DO NOT USE or DELETE'!M511</f>
        <v>0</v>
      </c>
      <c r="I1640" s="688"/>
      <c r="J1640" s="205"/>
    </row>
    <row r="1641" spans="1:17" x14ac:dyDescent="0.25">
      <c r="A1641" s="21">
        <f>A$7</f>
        <v>1495</v>
      </c>
      <c r="B1641" s="149">
        <f t="shared" ref="B1641:B1653" si="954">(A1641-A1640)/A1640</f>
        <v>0.16071428571428573</v>
      </c>
      <c r="C1641" s="52">
        <v>3</v>
      </c>
      <c r="D1641" s="210">
        <f>'linked - DO NOT USE or DELETE'!N511</f>
        <v>0</v>
      </c>
      <c r="E1641" s="22">
        <f t="shared" si="952"/>
        <v>0</v>
      </c>
      <c r="F1641" s="210">
        <f>'linked - DO NOT USE or DELETE'!P511</f>
        <v>0</v>
      </c>
      <c r="G1641" s="25" t="e">
        <f t="shared" si="953"/>
        <v>#DIV/0!</v>
      </c>
      <c r="H1641" s="33">
        <f>'linked - DO NOT USE or DELETE'!R511</f>
        <v>0</v>
      </c>
      <c r="I1641" s="688"/>
      <c r="J1641" s="205"/>
    </row>
    <row r="1642" spans="1:17" x14ac:dyDescent="0.25">
      <c r="A1642" s="21">
        <f>A$8</f>
        <v>1484</v>
      </c>
      <c r="B1642" s="149">
        <f t="shared" si="954"/>
        <v>-7.3578595317725752E-3</v>
      </c>
      <c r="C1642" s="52">
        <f t="shared" ref="C1642:C1653" si="955">C1641+1</f>
        <v>4</v>
      </c>
      <c r="D1642" s="247">
        <f>'Appendix J-2'!S97</f>
        <v>0</v>
      </c>
      <c r="E1642" s="22">
        <f t="shared" si="952"/>
        <v>0</v>
      </c>
      <c r="F1642" s="247">
        <f>'Appendix J-2'!U97</f>
        <v>0</v>
      </c>
      <c r="G1642" s="25" t="e">
        <f t="shared" si="953"/>
        <v>#DIV/0!</v>
      </c>
      <c r="H1642" s="248">
        <f>'Appendix J-2'!W97</f>
        <v>0</v>
      </c>
      <c r="I1642" s="688"/>
      <c r="J1642" s="205"/>
    </row>
    <row r="1643" spans="1:17" x14ac:dyDescent="0.25">
      <c r="A1643" s="21">
        <f>A$9</f>
        <v>1528</v>
      </c>
      <c r="B1643" s="149">
        <f t="shared" si="954"/>
        <v>2.9649595687331536E-2</v>
      </c>
      <c r="C1643" s="52">
        <f t="shared" si="955"/>
        <v>5</v>
      </c>
      <c r="D1643" s="249">
        <f>'Appendix J-2'!X97</f>
        <v>0</v>
      </c>
      <c r="E1643" s="22">
        <f t="shared" si="952"/>
        <v>0</v>
      </c>
      <c r="F1643" s="249">
        <f>'Appendix J-2'!Z97</f>
        <v>0</v>
      </c>
      <c r="G1643" s="25" t="e">
        <f t="shared" si="953"/>
        <v>#DIV/0!</v>
      </c>
      <c r="H1643" s="248">
        <f>'Appendix J-2'!AB97</f>
        <v>0</v>
      </c>
      <c r="I1643" s="688"/>
      <c r="J1643" s="205"/>
    </row>
    <row r="1644" spans="1:17" x14ac:dyDescent="0.25">
      <c r="A1644" s="21">
        <f>A$10</f>
        <v>1592</v>
      </c>
      <c r="B1644" s="149">
        <f t="shared" si="954"/>
        <v>4.1884816753926704E-2</v>
      </c>
      <c r="C1644" s="52">
        <f t="shared" si="955"/>
        <v>6</v>
      </c>
      <c r="D1644" s="249">
        <f>'Appendix J-2'!AC97</f>
        <v>0</v>
      </c>
      <c r="E1644" s="22">
        <f t="shared" si="952"/>
        <v>0</v>
      </c>
      <c r="F1644" s="249">
        <f>'Appendix J-2'!AE97</f>
        <v>0</v>
      </c>
      <c r="G1644" s="25" t="e">
        <f t="shared" si="953"/>
        <v>#DIV/0!</v>
      </c>
      <c r="H1644" s="248">
        <f>'Appendix J-2'!AG97</f>
        <v>0</v>
      </c>
      <c r="I1644" s="688"/>
      <c r="J1644" s="205"/>
    </row>
    <row r="1645" spans="1:17" x14ac:dyDescent="0.25">
      <c r="A1645" s="21">
        <f>A$11</f>
        <v>1642</v>
      </c>
      <c r="B1645" s="149">
        <f t="shared" si="954"/>
        <v>3.1407035175879394E-2</v>
      </c>
      <c r="C1645" s="52">
        <f t="shared" si="955"/>
        <v>7</v>
      </c>
      <c r="D1645" s="249">
        <f>'Appendix J-2'!AH97</f>
        <v>0</v>
      </c>
      <c r="E1645" s="22">
        <f t="shared" si="952"/>
        <v>0</v>
      </c>
      <c r="F1645" s="249">
        <f>'Appendix J-2'!AJ97</f>
        <v>0</v>
      </c>
      <c r="G1645" s="25" t="e">
        <f t="shared" si="953"/>
        <v>#DIV/0!</v>
      </c>
      <c r="H1645" s="248">
        <f>'Appendix J-2'!AL97</f>
        <v>0</v>
      </c>
      <c r="I1645" s="688"/>
      <c r="J1645" s="205"/>
    </row>
    <row r="1646" spans="1:17" x14ac:dyDescent="0.25">
      <c r="A1646" s="21">
        <f>A$12</f>
        <v>1675</v>
      </c>
      <c r="B1646" s="149">
        <f t="shared" si="954"/>
        <v>2.0097442143727162E-2</v>
      </c>
      <c r="C1646" s="20">
        <f t="shared" si="955"/>
        <v>8</v>
      </c>
      <c r="D1646" s="249">
        <f>'Appendix J-2'!AM97</f>
        <v>0</v>
      </c>
      <c r="E1646" s="22">
        <f t="shared" si="952"/>
        <v>0</v>
      </c>
      <c r="F1646" s="249">
        <f>'Appendix J-2'!AO97</f>
        <v>0</v>
      </c>
      <c r="G1646" s="25" t="e">
        <f t="shared" si="953"/>
        <v>#DIV/0!</v>
      </c>
      <c r="H1646" s="248">
        <f>'Appendix J-2'!AQ97</f>
        <v>0</v>
      </c>
      <c r="I1646" s="688"/>
      <c r="J1646" s="205"/>
    </row>
    <row r="1647" spans="1:17" x14ac:dyDescent="0.25">
      <c r="A1647" s="21">
        <f>A$13</f>
        <v>1739</v>
      </c>
      <c r="B1647" s="149">
        <f t="shared" si="954"/>
        <v>3.8208955223880597E-2</v>
      </c>
      <c r="C1647" s="20">
        <f t="shared" si="955"/>
        <v>9</v>
      </c>
      <c r="D1647" s="249">
        <f>'Appendix J-2'!AR97</f>
        <v>0</v>
      </c>
      <c r="E1647" s="22">
        <f t="shared" si="952"/>
        <v>0</v>
      </c>
      <c r="F1647" s="249">
        <f>'Appendix J-2'!AT97</f>
        <v>0</v>
      </c>
      <c r="G1647" s="25" t="e">
        <f t="shared" si="953"/>
        <v>#DIV/0!</v>
      </c>
      <c r="H1647" s="248">
        <f>'Appendix J-2'!AV97</f>
        <v>0</v>
      </c>
      <c r="I1647" s="688"/>
      <c r="J1647" s="205"/>
    </row>
    <row r="1648" spans="1:17" x14ac:dyDescent="0.25">
      <c r="A1648" s="21">
        <f>A$14</f>
        <v>1752</v>
      </c>
      <c r="B1648" s="149">
        <f t="shared" si="954"/>
        <v>7.4755606670500289E-3</v>
      </c>
      <c r="C1648" s="20">
        <f t="shared" si="955"/>
        <v>10</v>
      </c>
      <c r="D1648" s="21">
        <f>ROUND(IF(TREND($D$1639:$D$1647,$A$1639:$A$1647,A1648)&gt;0,TREND($D$1639:$D$1647,$A$1639:$A$1647,A1648),0),0)</f>
        <v>0</v>
      </c>
      <c r="E1648" s="22">
        <f>IF(TREND($E$1639:$E$1647,$A$1639:$A$1647,A1648)&gt;0,TREND($E$1639:$E$1647,$A$1639:$A$1647,A1648),0)</f>
        <v>0</v>
      </c>
      <c r="F1648" s="21">
        <f t="shared" ref="F1648" si="956">D1648*E1648</f>
        <v>0</v>
      </c>
      <c r="G1648" s="24">
        <f>'DDS Rates for Amend'!CN17</f>
        <v>9.5</v>
      </c>
      <c r="H1648" s="33">
        <f t="shared" ref="H1648" si="957">F1648*G1648</f>
        <v>0</v>
      </c>
      <c r="I1648" s="688"/>
      <c r="J1648" s="205"/>
      <c r="O1648" s="31" t="s">
        <v>538</v>
      </c>
      <c r="P1648" s="31" t="s">
        <v>540</v>
      </c>
      <c r="Q1648" s="31" t="s">
        <v>539</v>
      </c>
    </row>
    <row r="1649" spans="1:19" x14ac:dyDescent="0.25">
      <c r="A1649" s="21">
        <f>A$15</f>
        <v>1822</v>
      </c>
      <c r="B1649" s="149">
        <f t="shared" si="954"/>
        <v>3.9954337899543377E-2</v>
      </c>
      <c r="C1649" s="20">
        <f t="shared" si="955"/>
        <v>11</v>
      </c>
      <c r="D1649" s="21">
        <v>35</v>
      </c>
      <c r="E1649" s="22">
        <v>750</v>
      </c>
      <c r="F1649" s="21">
        <f t="shared" ref="F1649:F1653" si="958">D1649*E1649</f>
        <v>26250</v>
      </c>
      <c r="G1649" s="24">
        <f>'DDS Rates for Amend'!CN18</f>
        <v>8.76</v>
      </c>
      <c r="H1649" s="33">
        <f t="shared" ref="H1649:H1653" si="959">F1649*G1649</f>
        <v>229950</v>
      </c>
      <c r="I1649" s="688"/>
      <c r="J1649" s="205"/>
      <c r="N1649" s="31" t="s">
        <v>511</v>
      </c>
      <c r="O1649" s="31">
        <f>20+30</f>
        <v>50</v>
      </c>
      <c r="P1649" s="31">
        <f>(20*6)+(30*3)</f>
        <v>210</v>
      </c>
      <c r="Q1649" s="176">
        <f>ROUND(P1649/O1649,0)</f>
        <v>4</v>
      </c>
    </row>
    <row r="1650" spans="1:19" x14ac:dyDescent="0.25">
      <c r="A1650" s="21">
        <f>A$16</f>
        <v>1872</v>
      </c>
      <c r="B1650" s="149">
        <f t="shared" si="954"/>
        <v>2.7442371020856202E-2</v>
      </c>
      <c r="C1650" s="20">
        <f t="shared" si="955"/>
        <v>12</v>
      </c>
      <c r="D1650" s="21">
        <v>50</v>
      </c>
      <c r="E1650" s="22">
        <f>E1649-24</f>
        <v>726</v>
      </c>
      <c r="F1650" s="21">
        <f t="shared" si="958"/>
        <v>36300</v>
      </c>
      <c r="G1650" s="24">
        <f>'DDS Rates for Amend'!CN19</f>
        <v>8.9877599999999997</v>
      </c>
      <c r="H1650" s="33">
        <f t="shared" si="959"/>
        <v>326255.68799999997</v>
      </c>
      <c r="I1650" s="688"/>
      <c r="J1650" s="205"/>
      <c r="N1650" s="31" t="s">
        <v>512</v>
      </c>
      <c r="O1650" s="31">
        <f>40+30</f>
        <v>70</v>
      </c>
      <c r="P1650" s="31">
        <f>(40*6)+(30*3)</f>
        <v>330</v>
      </c>
      <c r="Q1650" s="176">
        <f t="shared" ref="Q1650:Q1653" si="960">ROUND(P1650/O1650,0)</f>
        <v>5</v>
      </c>
    </row>
    <row r="1651" spans="1:19" x14ac:dyDescent="0.25">
      <c r="A1651" s="21">
        <f>A$17</f>
        <v>1902</v>
      </c>
      <c r="B1651" s="149">
        <f t="shared" si="954"/>
        <v>1.6025641025641024E-2</v>
      </c>
      <c r="C1651" s="20">
        <f t="shared" si="955"/>
        <v>13</v>
      </c>
      <c r="D1651" s="21">
        <v>70</v>
      </c>
      <c r="E1651" s="22">
        <f>E1650-24</f>
        <v>702</v>
      </c>
      <c r="F1651" s="21">
        <f t="shared" si="958"/>
        <v>49140</v>
      </c>
      <c r="G1651" s="24">
        <f>'DDS Rates for Amend'!CN20</f>
        <v>9.2214417599999994</v>
      </c>
      <c r="H1651" s="33">
        <f t="shared" si="959"/>
        <v>453141.64808639995</v>
      </c>
      <c r="I1651" s="688"/>
      <c r="J1651" s="205"/>
      <c r="N1651" s="31" t="s">
        <v>513</v>
      </c>
      <c r="O1651" s="31">
        <f>60+33</f>
        <v>93</v>
      </c>
      <c r="P1651" s="31">
        <f>(60*6)+(33*3)</f>
        <v>459</v>
      </c>
      <c r="Q1651" s="176">
        <f t="shared" si="960"/>
        <v>5</v>
      </c>
    </row>
    <row r="1652" spans="1:19" x14ac:dyDescent="0.25">
      <c r="A1652" s="21">
        <f>A$18</f>
        <v>1932</v>
      </c>
      <c r="B1652" s="149">
        <f t="shared" si="954"/>
        <v>1.5772870662460567E-2</v>
      </c>
      <c r="C1652" s="20">
        <f t="shared" si="955"/>
        <v>14</v>
      </c>
      <c r="D1652" s="21">
        <v>93</v>
      </c>
      <c r="E1652" s="22">
        <f t="shared" ref="E1652" si="961">E1651-24</f>
        <v>678</v>
      </c>
      <c r="F1652" s="21">
        <f t="shared" si="958"/>
        <v>63054</v>
      </c>
      <c r="G1652" s="24">
        <f>'DDS Rates for Amend'!CN21</f>
        <v>9.4611992457599996</v>
      </c>
      <c r="H1652" s="33">
        <f t="shared" si="959"/>
        <v>596566.45724215102</v>
      </c>
      <c r="I1652" s="688"/>
      <c r="J1652" s="205"/>
      <c r="N1652" s="31" t="s">
        <v>514</v>
      </c>
      <c r="O1652" s="31">
        <f>60+35</f>
        <v>95</v>
      </c>
      <c r="P1652" s="31">
        <f>(60*6)+(35*3)</f>
        <v>465</v>
      </c>
      <c r="Q1652" s="176">
        <f t="shared" si="960"/>
        <v>5</v>
      </c>
    </row>
    <row r="1653" spans="1:19" x14ac:dyDescent="0.25">
      <c r="A1653" s="21">
        <f>A$19</f>
        <v>1962</v>
      </c>
      <c r="B1653" s="149">
        <f t="shared" si="954"/>
        <v>1.5527950310559006E-2</v>
      </c>
      <c r="C1653" s="20">
        <f t="shared" si="955"/>
        <v>15</v>
      </c>
      <c r="D1653" s="21">
        <v>95</v>
      </c>
      <c r="E1653" s="22">
        <f>E1652</f>
        <v>678</v>
      </c>
      <c r="F1653" s="21">
        <f t="shared" si="958"/>
        <v>64410</v>
      </c>
      <c r="G1653" s="24">
        <f>'DDS Rates for Amend'!CN22</f>
        <v>9.7071904261497597</v>
      </c>
      <c r="H1653" s="33">
        <f t="shared" si="959"/>
        <v>625240.13534830604</v>
      </c>
      <c r="I1653" s="689"/>
      <c r="J1653" s="205"/>
      <c r="K1653" s="285">
        <f>SUM(H1639:H1653)</f>
        <v>2231153.9286768567</v>
      </c>
      <c r="L1653" s="17">
        <f>IF(K1653='Appendix J-2'!CD97,0,error)</f>
        <v>0</v>
      </c>
      <c r="N1653" s="31" t="s">
        <v>515</v>
      </c>
      <c r="O1653" s="31">
        <f>60+35</f>
        <v>95</v>
      </c>
      <c r="P1653" s="31">
        <f>(60*6)+(35*3)</f>
        <v>465</v>
      </c>
      <c r="Q1653" s="176">
        <f t="shared" si="960"/>
        <v>5</v>
      </c>
    </row>
    <row r="1655" spans="1:19" x14ac:dyDescent="0.25">
      <c r="A1655" s="295" t="s">
        <v>21</v>
      </c>
      <c r="B1655" s="296"/>
      <c r="C1655" s="296"/>
      <c r="D1655" s="302" t="str">
        <f>'Appendix J-2'!B99</f>
        <v>Session</v>
      </c>
      <c r="E1655" s="297" t="str">
        <f>'Appendix J-2'!C99</f>
        <v>45 minutes</v>
      </c>
      <c r="F1655" s="690"/>
      <c r="G1655" s="690"/>
      <c r="H1655" s="690"/>
      <c r="I1655" s="687" t="s">
        <v>1133</v>
      </c>
      <c r="J1655" s="205"/>
      <c r="N1655" s="385" t="s">
        <v>557</v>
      </c>
      <c r="O1655" s="386"/>
      <c r="P1655" s="387"/>
      <c r="Q1655" s="388"/>
      <c r="R1655" s="389"/>
      <c r="S1655" s="390"/>
    </row>
    <row r="1656" spans="1:19" ht="30" x14ac:dyDescent="0.25">
      <c r="A1656" s="147" t="s">
        <v>26</v>
      </c>
      <c r="B1656" s="147" t="s">
        <v>27</v>
      </c>
      <c r="C1656" s="51" t="s">
        <v>166</v>
      </c>
      <c r="D1656" s="91" t="s">
        <v>154</v>
      </c>
      <c r="E1656" s="89" t="s">
        <v>155</v>
      </c>
      <c r="F1656" s="34" t="s">
        <v>158</v>
      </c>
      <c r="G1656" s="35" t="s">
        <v>156</v>
      </c>
      <c r="H1656" s="51" t="s">
        <v>157</v>
      </c>
      <c r="I1656" s="688"/>
      <c r="J1656" s="205"/>
      <c r="N1656" s="146" t="s">
        <v>166</v>
      </c>
      <c r="O1656" s="391" t="s">
        <v>154</v>
      </c>
      <c r="P1656" s="392" t="s">
        <v>155</v>
      </c>
      <c r="Q1656" s="393" t="s">
        <v>158</v>
      </c>
      <c r="R1656" s="146" t="s">
        <v>156</v>
      </c>
      <c r="S1656" s="146" t="s">
        <v>157</v>
      </c>
    </row>
    <row r="1657" spans="1:19" x14ac:dyDescent="0.25">
      <c r="A1657" s="21">
        <f>A$5</f>
        <v>1182</v>
      </c>
      <c r="B1657" s="148"/>
      <c r="C1657" s="144">
        <v>1</v>
      </c>
      <c r="D1657" s="219">
        <f>'linked - DO NOT USE or DELETE'!D524</f>
        <v>0</v>
      </c>
      <c r="E1657" s="22">
        <f t="shared" ref="E1657:E1665" si="962">IF(F1657=0,0,F1657/D1657)</f>
        <v>0</v>
      </c>
      <c r="F1657" s="210">
        <f>'linked - DO NOT USE or DELETE'!F524</f>
        <v>0</v>
      </c>
      <c r="G1657" s="25" t="e">
        <f t="shared" ref="G1657:G1665" si="963">H1657/F1657</f>
        <v>#DIV/0!</v>
      </c>
      <c r="H1657" s="211">
        <f>'linked - DO NOT USE or DELETE'!H524</f>
        <v>0</v>
      </c>
      <c r="I1657" s="688"/>
      <c r="J1657" s="205"/>
      <c r="N1657" s="144">
        <v>1</v>
      </c>
      <c r="O1657" s="247">
        <f>SUM(D1657,D1675,D1688,D1701)</f>
        <v>0</v>
      </c>
      <c r="P1657" s="23">
        <f>IF(Q1657=0,0,Q1657/O1657)</f>
        <v>0</v>
      </c>
      <c r="Q1657" s="247">
        <f>SUM(F1657,F1675,F1688,F1701)</f>
        <v>0</v>
      </c>
      <c r="R1657" s="394" t="e">
        <f>S1657/Q1657</f>
        <v>#DIV/0!</v>
      </c>
      <c r="S1657" s="396">
        <f>SUM(H1657,H1675,H1688,H1701)</f>
        <v>0</v>
      </c>
    </row>
    <row r="1658" spans="1:19" x14ac:dyDescent="0.25">
      <c r="A1658" s="21">
        <f>A$6</f>
        <v>1288</v>
      </c>
      <c r="B1658" s="149">
        <f>(A1658-A1657)/A1657</f>
        <v>8.9678510998307953E-2</v>
      </c>
      <c r="C1658" s="52">
        <v>2</v>
      </c>
      <c r="D1658" s="219">
        <f>'linked - DO NOT USE or DELETE'!I524</f>
        <v>0</v>
      </c>
      <c r="E1658" s="22">
        <f t="shared" si="962"/>
        <v>0</v>
      </c>
      <c r="F1658" s="210">
        <f>'linked - DO NOT USE or DELETE'!K524</f>
        <v>0</v>
      </c>
      <c r="G1658" s="25" t="e">
        <f t="shared" si="963"/>
        <v>#DIV/0!</v>
      </c>
      <c r="H1658" s="211">
        <f>'linked - DO NOT USE or DELETE'!M524</f>
        <v>0</v>
      </c>
      <c r="I1658" s="688"/>
      <c r="J1658" s="205"/>
      <c r="N1658" s="52">
        <v>2</v>
      </c>
      <c r="O1658" s="247">
        <f t="shared" ref="O1658:S1665" si="964">SUM(D1658,D1676,D1689,D1702)</f>
        <v>0</v>
      </c>
      <c r="P1658" s="23">
        <f>IF(Q1658=0,0,Q1658/O1658)</f>
        <v>0</v>
      </c>
      <c r="Q1658" s="247">
        <f t="shared" si="964"/>
        <v>0</v>
      </c>
      <c r="R1658" s="394" t="e">
        <f t="shared" ref="R1658:R1665" si="965">S1658/Q1658</f>
        <v>#DIV/0!</v>
      </c>
      <c r="S1658" s="396">
        <f t="shared" si="964"/>
        <v>0</v>
      </c>
    </row>
    <row r="1659" spans="1:19" x14ac:dyDescent="0.25">
      <c r="A1659" s="21">
        <f>A$7</f>
        <v>1495</v>
      </c>
      <c r="B1659" s="149">
        <f t="shared" ref="B1659:B1671" si="966">(A1659-A1658)/A1658</f>
        <v>0.16071428571428573</v>
      </c>
      <c r="C1659" s="52">
        <v>3</v>
      </c>
      <c r="D1659" s="219">
        <f>'linked - DO NOT USE or DELETE'!N524</f>
        <v>0</v>
      </c>
      <c r="E1659" s="22">
        <f t="shared" si="962"/>
        <v>0</v>
      </c>
      <c r="F1659" s="210">
        <f>'linked - DO NOT USE or DELETE'!P524</f>
        <v>0</v>
      </c>
      <c r="G1659" s="25" t="e">
        <f t="shared" si="963"/>
        <v>#DIV/0!</v>
      </c>
      <c r="H1659" s="33">
        <f>'linked - DO NOT USE or DELETE'!R524</f>
        <v>0</v>
      </c>
      <c r="I1659" s="688"/>
      <c r="J1659" s="205"/>
      <c r="N1659" s="52">
        <v>3</v>
      </c>
      <c r="O1659" s="247">
        <f t="shared" si="964"/>
        <v>0</v>
      </c>
      <c r="P1659" s="23">
        <f t="shared" ref="P1659:P1665" si="967">IF(Q1659=0,0,Q1659/O1659)</f>
        <v>0</v>
      </c>
      <c r="Q1659" s="247">
        <f t="shared" si="964"/>
        <v>0</v>
      </c>
      <c r="R1659" s="394" t="e">
        <f t="shared" si="965"/>
        <v>#DIV/0!</v>
      </c>
      <c r="S1659" s="396">
        <f t="shared" si="964"/>
        <v>0</v>
      </c>
    </row>
    <row r="1660" spans="1:19" x14ac:dyDescent="0.25">
      <c r="A1660" s="21">
        <f>A$8</f>
        <v>1484</v>
      </c>
      <c r="B1660" s="149">
        <f t="shared" si="966"/>
        <v>-7.3578595317725752E-3</v>
      </c>
      <c r="C1660" s="52">
        <f t="shared" ref="C1660:C1671" si="968">C1659+1</f>
        <v>4</v>
      </c>
      <c r="D1660" s="247">
        <f>'Appendix J-2'!S99</f>
        <v>0</v>
      </c>
      <c r="E1660" s="22">
        <f t="shared" si="962"/>
        <v>0</v>
      </c>
      <c r="F1660" s="247">
        <f>'Appendix J-2'!U99</f>
        <v>0</v>
      </c>
      <c r="G1660" s="25" t="e">
        <f t="shared" si="963"/>
        <v>#DIV/0!</v>
      </c>
      <c r="H1660" s="248">
        <f>'Appendix J-2'!W99</f>
        <v>0</v>
      </c>
      <c r="I1660" s="688"/>
      <c r="J1660" s="205"/>
      <c r="N1660" s="52">
        <f t="shared" ref="N1660:N1671" si="969">N1659+1</f>
        <v>4</v>
      </c>
      <c r="O1660" s="247">
        <f t="shared" si="964"/>
        <v>1</v>
      </c>
      <c r="P1660" s="23">
        <f t="shared" si="967"/>
        <v>24</v>
      </c>
      <c r="Q1660" s="247">
        <f t="shared" si="964"/>
        <v>24</v>
      </c>
      <c r="R1660" s="394">
        <f t="shared" si="965"/>
        <v>11.25</v>
      </c>
      <c r="S1660" s="396">
        <f t="shared" si="964"/>
        <v>270</v>
      </c>
    </row>
    <row r="1661" spans="1:19" x14ac:dyDescent="0.25">
      <c r="A1661" s="21">
        <f>A$9</f>
        <v>1528</v>
      </c>
      <c r="B1661" s="149">
        <f t="shared" si="966"/>
        <v>2.9649595687331536E-2</v>
      </c>
      <c r="C1661" s="52">
        <f t="shared" si="968"/>
        <v>5</v>
      </c>
      <c r="D1661" s="249">
        <f>'Appendix J-2'!X99</f>
        <v>0</v>
      </c>
      <c r="E1661" s="22">
        <f t="shared" si="962"/>
        <v>0</v>
      </c>
      <c r="F1661" s="249">
        <f>'Appendix J-2'!Z99</f>
        <v>0</v>
      </c>
      <c r="G1661" s="25" t="e">
        <f t="shared" si="963"/>
        <v>#DIV/0!</v>
      </c>
      <c r="H1661" s="248">
        <f>'Appendix J-2'!AB99</f>
        <v>0</v>
      </c>
      <c r="I1661" s="688"/>
      <c r="J1661" s="205"/>
      <c r="N1661" s="52">
        <f t="shared" si="969"/>
        <v>5</v>
      </c>
      <c r="O1661" s="247">
        <f t="shared" si="964"/>
        <v>0</v>
      </c>
      <c r="P1661" s="23">
        <f t="shared" si="967"/>
        <v>0</v>
      </c>
      <c r="Q1661" s="247">
        <f t="shared" si="964"/>
        <v>0</v>
      </c>
      <c r="R1661" s="394" t="e">
        <f t="shared" si="965"/>
        <v>#DIV/0!</v>
      </c>
      <c r="S1661" s="396">
        <f t="shared" si="964"/>
        <v>0</v>
      </c>
    </row>
    <row r="1662" spans="1:19" x14ac:dyDescent="0.25">
      <c r="A1662" s="21">
        <f>A$10</f>
        <v>1592</v>
      </c>
      <c r="B1662" s="149">
        <f t="shared" si="966"/>
        <v>4.1884816753926704E-2</v>
      </c>
      <c r="C1662" s="20">
        <f t="shared" si="968"/>
        <v>6</v>
      </c>
      <c r="D1662" s="249">
        <f>'Appendix J-2'!AC99</f>
        <v>0</v>
      </c>
      <c r="E1662" s="22">
        <f t="shared" si="962"/>
        <v>0</v>
      </c>
      <c r="F1662" s="249">
        <f>'Appendix J-2'!AE99</f>
        <v>0</v>
      </c>
      <c r="G1662" s="25" t="e">
        <f t="shared" si="963"/>
        <v>#DIV/0!</v>
      </c>
      <c r="H1662" s="248">
        <f>'Appendix J-2'!AG99</f>
        <v>0</v>
      </c>
      <c r="I1662" s="688"/>
      <c r="J1662" s="205"/>
      <c r="N1662" s="52">
        <f t="shared" si="969"/>
        <v>6</v>
      </c>
      <c r="O1662" s="247">
        <f t="shared" si="964"/>
        <v>0</v>
      </c>
      <c r="P1662" s="23">
        <f t="shared" si="967"/>
        <v>0</v>
      </c>
      <c r="Q1662" s="247">
        <f t="shared" si="964"/>
        <v>0</v>
      </c>
      <c r="R1662" s="394" t="e">
        <f t="shared" si="965"/>
        <v>#DIV/0!</v>
      </c>
      <c r="S1662" s="396">
        <f t="shared" si="964"/>
        <v>0</v>
      </c>
    </row>
    <row r="1663" spans="1:19" x14ac:dyDescent="0.25">
      <c r="A1663" s="21">
        <f>A$11</f>
        <v>1642</v>
      </c>
      <c r="B1663" s="149">
        <f t="shared" si="966"/>
        <v>3.1407035175879394E-2</v>
      </c>
      <c r="C1663" s="20">
        <f t="shared" si="968"/>
        <v>7</v>
      </c>
      <c r="D1663" s="249">
        <f>'Appendix J-2'!AH99</f>
        <v>0</v>
      </c>
      <c r="E1663" s="22">
        <f t="shared" si="962"/>
        <v>0</v>
      </c>
      <c r="F1663" s="249">
        <f>'Appendix J-2'!AJ99</f>
        <v>0</v>
      </c>
      <c r="G1663" s="25" t="e">
        <f t="shared" si="963"/>
        <v>#DIV/0!</v>
      </c>
      <c r="H1663" s="248">
        <f>'Appendix J-2'!AL99</f>
        <v>0</v>
      </c>
      <c r="I1663" s="688"/>
      <c r="J1663" s="205"/>
      <c r="N1663" s="52">
        <f t="shared" si="969"/>
        <v>7</v>
      </c>
      <c r="O1663" s="247">
        <f t="shared" si="964"/>
        <v>0</v>
      </c>
      <c r="P1663" s="23">
        <f t="shared" si="967"/>
        <v>0</v>
      </c>
      <c r="Q1663" s="247">
        <f t="shared" si="964"/>
        <v>0</v>
      </c>
      <c r="R1663" s="394" t="e">
        <f t="shared" si="965"/>
        <v>#DIV/0!</v>
      </c>
      <c r="S1663" s="396">
        <f t="shared" si="964"/>
        <v>0</v>
      </c>
    </row>
    <row r="1664" spans="1:19" x14ac:dyDescent="0.25">
      <c r="A1664" s="21">
        <f>A$12</f>
        <v>1675</v>
      </c>
      <c r="B1664" s="149">
        <f t="shared" si="966"/>
        <v>2.0097442143727162E-2</v>
      </c>
      <c r="C1664" s="20">
        <f t="shared" si="968"/>
        <v>8</v>
      </c>
      <c r="D1664" s="249">
        <f>'Appendix J-2'!AM99</f>
        <v>0</v>
      </c>
      <c r="E1664" s="22">
        <f t="shared" si="962"/>
        <v>0</v>
      </c>
      <c r="F1664" s="249">
        <f>'Appendix J-2'!AO99</f>
        <v>0</v>
      </c>
      <c r="G1664" s="25" t="e">
        <f t="shared" si="963"/>
        <v>#DIV/0!</v>
      </c>
      <c r="H1664" s="248">
        <f>'Appendix J-2'!AQ99</f>
        <v>0</v>
      </c>
      <c r="I1664" s="688"/>
      <c r="J1664" s="205"/>
      <c r="N1664" s="52">
        <f t="shared" si="969"/>
        <v>8</v>
      </c>
      <c r="O1664" s="247">
        <f t="shared" si="964"/>
        <v>0</v>
      </c>
      <c r="P1664" s="23">
        <f t="shared" si="967"/>
        <v>0</v>
      </c>
      <c r="Q1664" s="247">
        <f t="shared" si="964"/>
        <v>0</v>
      </c>
      <c r="R1664" s="394" t="e">
        <f t="shared" si="965"/>
        <v>#DIV/0!</v>
      </c>
      <c r="S1664" s="396">
        <f t="shared" si="964"/>
        <v>0</v>
      </c>
    </row>
    <row r="1665" spans="1:19" x14ac:dyDescent="0.25">
      <c r="A1665" s="21">
        <f>A$13</f>
        <v>1739</v>
      </c>
      <c r="B1665" s="149">
        <f t="shared" si="966"/>
        <v>3.8208955223880597E-2</v>
      </c>
      <c r="C1665" s="20">
        <f t="shared" si="968"/>
        <v>9</v>
      </c>
      <c r="D1665" s="249">
        <f>'Appendix J-2'!AR99</f>
        <v>0</v>
      </c>
      <c r="E1665" s="22">
        <f t="shared" si="962"/>
        <v>0</v>
      </c>
      <c r="F1665" s="249">
        <f>'Appendix J-2'!AT100</f>
        <v>0</v>
      </c>
      <c r="G1665" s="25" t="e">
        <f t="shared" si="963"/>
        <v>#DIV/0!</v>
      </c>
      <c r="H1665" s="248">
        <f>'Appendix J-2'!AV100</f>
        <v>0</v>
      </c>
      <c r="I1665" s="688"/>
      <c r="J1665" s="205"/>
      <c r="N1665" s="52">
        <f t="shared" si="969"/>
        <v>9</v>
      </c>
      <c r="O1665" s="247">
        <f t="shared" si="964"/>
        <v>0</v>
      </c>
      <c r="P1665" s="23">
        <f t="shared" si="967"/>
        <v>0</v>
      </c>
      <c r="Q1665" s="247">
        <f t="shared" si="964"/>
        <v>0</v>
      </c>
      <c r="R1665" s="394" t="e">
        <f t="shared" si="965"/>
        <v>#DIV/0!</v>
      </c>
      <c r="S1665" s="396">
        <f t="shared" si="964"/>
        <v>0</v>
      </c>
    </row>
    <row r="1666" spans="1:19" x14ac:dyDescent="0.25">
      <c r="A1666" s="21">
        <f>A$14</f>
        <v>1752</v>
      </c>
      <c r="B1666" s="149">
        <f t="shared" si="966"/>
        <v>7.4755606670500289E-3</v>
      </c>
      <c r="C1666" s="20">
        <f t="shared" si="968"/>
        <v>10</v>
      </c>
      <c r="D1666" s="21">
        <f>ROUND((TREND($D$1657:$D$1665,$A$1657:$A$1665,A1666)),0)</f>
        <v>0</v>
      </c>
      <c r="E1666" s="22">
        <f>TREND($E$1657:$E$1665,$A$1657:$A$1665,A1666)</f>
        <v>0</v>
      </c>
      <c r="F1666" s="21">
        <f t="shared" ref="F1666" si="970">D1666*E1666</f>
        <v>0</v>
      </c>
      <c r="G1666" s="24">
        <f>'DDS Rates for Amend'!CP17</f>
        <v>25.25</v>
      </c>
      <c r="H1666" s="33">
        <f t="shared" ref="H1666" si="971">F1666*G1666</f>
        <v>0</v>
      </c>
      <c r="I1666" s="688"/>
      <c r="J1666" s="205"/>
      <c r="N1666" s="52">
        <f t="shared" si="969"/>
        <v>10</v>
      </c>
      <c r="O1666" s="80">
        <f>ROUND(TREND(O1657:O1665,A1657:A1665,A1666),0)</f>
        <v>0</v>
      </c>
      <c r="P1666" s="80">
        <f>ROUND(TREND(P1657:P1665,A1657:A1665,A1666),0)</f>
        <v>2</v>
      </c>
      <c r="Q1666" s="21">
        <f>O1666*P1666</f>
        <v>0</v>
      </c>
      <c r="R1666" s="395">
        <f t="shared" ref="R1666:R1671" si="972">G1666</f>
        <v>25.25</v>
      </c>
      <c r="S1666" s="394">
        <f t="shared" ref="S1666:S1671" si="973">SUM(H1666,H1684,H1697,H1754)</f>
        <v>0</v>
      </c>
    </row>
    <row r="1667" spans="1:19" x14ac:dyDescent="0.25">
      <c r="A1667" s="21">
        <f>A$15</f>
        <v>1822</v>
      </c>
      <c r="B1667" s="149">
        <f t="shared" si="966"/>
        <v>3.9954337899543377E-2</v>
      </c>
      <c r="C1667" s="20">
        <f t="shared" si="968"/>
        <v>11</v>
      </c>
      <c r="D1667" s="21">
        <v>4</v>
      </c>
      <c r="E1667" s="22">
        <f>Q1660</f>
        <v>24</v>
      </c>
      <c r="F1667" s="21">
        <f t="shared" ref="F1667:F1671" si="974">D1667*E1667</f>
        <v>96</v>
      </c>
      <c r="G1667" s="24">
        <f>'DDS Rates for Amend'!CP18</f>
        <v>31.1</v>
      </c>
      <c r="H1667" s="33">
        <f t="shared" ref="H1667:H1671" si="975">F1667*G1667</f>
        <v>2985.6000000000004</v>
      </c>
      <c r="I1667" s="688"/>
      <c r="J1667" s="205"/>
      <c r="N1667" s="52">
        <f t="shared" si="969"/>
        <v>11</v>
      </c>
      <c r="O1667" s="80">
        <f t="shared" ref="O1667:O1671" si="976">ROUND(TREND(O1658:O1666,A1658:A1666,A1667),0)</f>
        <v>0</v>
      </c>
      <c r="P1667" s="80">
        <f t="shared" ref="P1667:P1671" si="977">ROUND(TREND(P1658:P1666,A1658:A1666,A1667),0)</f>
        <v>0</v>
      </c>
      <c r="Q1667" s="21">
        <f t="shared" ref="Q1667:Q1671" si="978">O1667*P1667</f>
        <v>0</v>
      </c>
      <c r="R1667" s="395">
        <f t="shared" si="972"/>
        <v>31.1</v>
      </c>
      <c r="S1667" s="394">
        <f t="shared" si="973"/>
        <v>2985.6000000000004</v>
      </c>
    </row>
    <row r="1668" spans="1:19" x14ac:dyDescent="0.25">
      <c r="A1668" s="21">
        <f>A$16</f>
        <v>1872</v>
      </c>
      <c r="B1668" s="149">
        <f t="shared" si="966"/>
        <v>2.7442371020856202E-2</v>
      </c>
      <c r="C1668" s="20">
        <f t="shared" si="968"/>
        <v>12</v>
      </c>
      <c r="D1668" s="21">
        <v>8</v>
      </c>
      <c r="E1668" s="22">
        <v>24</v>
      </c>
      <c r="F1668" s="21">
        <f t="shared" si="974"/>
        <v>192</v>
      </c>
      <c r="G1668" s="24">
        <f>'DDS Rates for Amend'!CP19</f>
        <v>31.9086</v>
      </c>
      <c r="H1668" s="33">
        <f t="shared" si="975"/>
        <v>6126.4511999999995</v>
      </c>
      <c r="I1668" s="688"/>
      <c r="J1668" s="205"/>
      <c r="N1668" s="52">
        <f t="shared" si="969"/>
        <v>12</v>
      </c>
      <c r="O1668" s="80">
        <f t="shared" si="976"/>
        <v>0</v>
      </c>
      <c r="P1668" s="80">
        <f t="shared" si="977"/>
        <v>-4</v>
      </c>
      <c r="Q1668" s="21">
        <f t="shared" si="978"/>
        <v>0</v>
      </c>
      <c r="R1668" s="395">
        <f t="shared" si="972"/>
        <v>31.9086</v>
      </c>
      <c r="S1668" s="394">
        <f t="shared" si="973"/>
        <v>6126.4511999999995</v>
      </c>
    </row>
    <row r="1669" spans="1:19" x14ac:dyDescent="0.25">
      <c r="A1669" s="21">
        <f>A$17</f>
        <v>1902</v>
      </c>
      <c r="B1669" s="149">
        <f t="shared" si="966"/>
        <v>1.6025641025641024E-2</v>
      </c>
      <c r="C1669" s="20">
        <f t="shared" si="968"/>
        <v>13</v>
      </c>
      <c r="D1669" s="21">
        <v>12</v>
      </c>
      <c r="E1669" s="22">
        <v>24</v>
      </c>
      <c r="F1669" s="21">
        <f t="shared" si="974"/>
        <v>288</v>
      </c>
      <c r="G1669" s="24">
        <f>'DDS Rates for Amend'!CP20</f>
        <v>32.738223599999998</v>
      </c>
      <c r="H1669" s="33">
        <f t="shared" si="975"/>
        <v>9428.6083967999984</v>
      </c>
      <c r="I1669" s="688"/>
      <c r="J1669" s="205"/>
      <c r="N1669" s="52">
        <f t="shared" si="969"/>
        <v>13</v>
      </c>
      <c r="O1669" s="80">
        <f t="shared" si="976"/>
        <v>0</v>
      </c>
      <c r="P1669" s="80">
        <f t="shared" si="977"/>
        <v>-6</v>
      </c>
      <c r="Q1669" s="21">
        <f t="shared" si="978"/>
        <v>0</v>
      </c>
      <c r="R1669" s="395">
        <f t="shared" si="972"/>
        <v>32.738223599999998</v>
      </c>
      <c r="S1669" s="394">
        <f t="shared" si="973"/>
        <v>9428.6083967999984</v>
      </c>
    </row>
    <row r="1670" spans="1:19" x14ac:dyDescent="0.25">
      <c r="A1670" s="21">
        <f>A$18</f>
        <v>1932</v>
      </c>
      <c r="B1670" s="149">
        <f t="shared" si="966"/>
        <v>1.5772870662460567E-2</v>
      </c>
      <c r="C1670" s="20">
        <f t="shared" si="968"/>
        <v>14</v>
      </c>
      <c r="D1670" s="21">
        <v>12</v>
      </c>
      <c r="E1670" s="22">
        <v>24</v>
      </c>
      <c r="F1670" s="21">
        <f t="shared" si="974"/>
        <v>288</v>
      </c>
      <c r="G1670" s="24">
        <f>'DDS Rates for Amend'!CP21</f>
        <v>33.589417413599996</v>
      </c>
      <c r="H1670" s="33">
        <f t="shared" si="975"/>
        <v>9673.7522151167996</v>
      </c>
      <c r="I1670" s="688"/>
      <c r="J1670" s="205"/>
      <c r="N1670" s="52">
        <f t="shared" si="969"/>
        <v>14</v>
      </c>
      <c r="O1670" s="80">
        <f t="shared" si="976"/>
        <v>0</v>
      </c>
      <c r="P1670" s="80">
        <f t="shared" si="977"/>
        <v>-3</v>
      </c>
      <c r="Q1670" s="21">
        <f t="shared" si="978"/>
        <v>0</v>
      </c>
      <c r="R1670" s="395">
        <f t="shared" si="972"/>
        <v>33.589417413599996</v>
      </c>
      <c r="S1670" s="394">
        <f t="shared" si="973"/>
        <v>9673.7522151167996</v>
      </c>
    </row>
    <row r="1671" spans="1:19" x14ac:dyDescent="0.25">
      <c r="A1671" s="21">
        <f>A$19</f>
        <v>1962</v>
      </c>
      <c r="B1671" s="149">
        <f t="shared" si="966"/>
        <v>1.5527950310559006E-2</v>
      </c>
      <c r="C1671" s="20">
        <f t="shared" si="968"/>
        <v>15</v>
      </c>
      <c r="D1671" s="21">
        <v>24</v>
      </c>
      <c r="E1671" s="22">
        <v>24</v>
      </c>
      <c r="F1671" s="21">
        <f t="shared" si="974"/>
        <v>576</v>
      </c>
      <c r="G1671" s="24">
        <f>'DDS Rates for Amend'!CP22</f>
        <v>34.462742266353594</v>
      </c>
      <c r="H1671" s="33">
        <f t="shared" si="975"/>
        <v>19850.53954541967</v>
      </c>
      <c r="I1671" s="689"/>
      <c r="J1671" s="205"/>
      <c r="K1671" s="285">
        <f>SUM(H1657:H1671)</f>
        <v>48064.951357336467</v>
      </c>
      <c r="L1671" s="17">
        <f>IF(K1671='Appendix J-2'!CD99,0,error)</f>
        <v>0</v>
      </c>
      <c r="N1671" s="52">
        <f t="shared" si="969"/>
        <v>15</v>
      </c>
      <c r="O1671" s="80">
        <f t="shared" si="976"/>
        <v>0</v>
      </c>
      <c r="P1671" s="80">
        <f t="shared" si="977"/>
        <v>-4</v>
      </c>
      <c r="Q1671" s="21">
        <f t="shared" si="978"/>
        <v>0</v>
      </c>
      <c r="R1671" s="395">
        <f t="shared" si="972"/>
        <v>34.462742266353594</v>
      </c>
      <c r="S1671" s="394">
        <f t="shared" si="973"/>
        <v>19850.53954541967</v>
      </c>
    </row>
    <row r="1673" spans="1:19" x14ac:dyDescent="0.25">
      <c r="A1673" s="691" t="s">
        <v>22</v>
      </c>
      <c r="B1673" s="691"/>
      <c r="C1673" s="691"/>
      <c r="D1673" s="691"/>
      <c r="E1673" s="692"/>
      <c r="F1673" s="699"/>
      <c r="G1673" s="699"/>
      <c r="H1673" s="699"/>
      <c r="I1673" s="705" t="s">
        <v>522</v>
      </c>
      <c r="J1673" s="205"/>
    </row>
    <row r="1674" spans="1:19" x14ac:dyDescent="0.25">
      <c r="A1674" s="151" t="s">
        <v>26</v>
      </c>
      <c r="B1674" s="151" t="s">
        <v>27</v>
      </c>
      <c r="C1674" s="157" t="s">
        <v>166</v>
      </c>
      <c r="D1674" s="260" t="s">
        <v>154</v>
      </c>
      <c r="E1674" s="261" t="s">
        <v>155</v>
      </c>
      <c r="F1674" s="262" t="s">
        <v>158</v>
      </c>
      <c r="G1674" s="239" t="s">
        <v>156</v>
      </c>
      <c r="H1674" s="239" t="s">
        <v>157</v>
      </c>
      <c r="I1674" s="706"/>
      <c r="J1674" s="203"/>
    </row>
    <row r="1675" spans="1:19" x14ac:dyDescent="0.25">
      <c r="A1675" s="148">
        <f>A$5</f>
        <v>1182</v>
      </c>
      <c r="B1675" s="148"/>
      <c r="C1675" s="137">
        <v>1</v>
      </c>
      <c r="D1675" s="215">
        <f>'linked - DO NOT USE or DELETE'!D537</f>
        <v>0</v>
      </c>
      <c r="E1675" s="138">
        <f>IF(F1675=0,0,F1675/D1675)</f>
        <v>0</v>
      </c>
      <c r="F1675" s="215">
        <f>'linked - DO NOT USE or DELETE'!F537</f>
        <v>0</v>
      </c>
      <c r="G1675" s="258" t="e">
        <f>H1675/F1675</f>
        <v>#DIV/0!</v>
      </c>
      <c r="H1675" s="216">
        <f>'linked - DO NOT USE or DELETE'!H537</f>
        <v>0</v>
      </c>
      <c r="I1675" s="706"/>
      <c r="J1675" s="200"/>
    </row>
    <row r="1676" spans="1:19" x14ac:dyDescent="0.25">
      <c r="A1676" s="148">
        <f>A$6</f>
        <v>1288</v>
      </c>
      <c r="B1676" s="152">
        <f>(A1676-A1675)/A1675</f>
        <v>8.9678510998307953E-2</v>
      </c>
      <c r="C1676" s="140">
        <v>2</v>
      </c>
      <c r="D1676" s="215">
        <f>'linked - DO NOT USE or DELETE'!I537</f>
        <v>0</v>
      </c>
      <c r="E1676" s="138">
        <f t="shared" ref="E1676:E1679" si="979">IF(F1676=0,0,F1676/D1676)</f>
        <v>0</v>
      </c>
      <c r="F1676" s="215">
        <f>'linked - DO NOT USE or DELETE'!K537</f>
        <v>0</v>
      </c>
      <c r="G1676" s="258" t="e">
        <f t="shared" ref="G1676:G1684" si="980">H1676/F1676</f>
        <v>#DIV/0!</v>
      </c>
      <c r="H1676" s="216">
        <f>'linked - DO NOT USE or DELETE'!M537</f>
        <v>0</v>
      </c>
      <c r="I1676" s="706"/>
      <c r="J1676" s="200"/>
    </row>
    <row r="1677" spans="1:19" x14ac:dyDescent="0.25">
      <c r="A1677" s="148">
        <f>A$7</f>
        <v>1495</v>
      </c>
      <c r="B1677" s="152">
        <f t="shared" ref="B1677:B1684" si="981">(A1677-A1676)/A1676</f>
        <v>0.16071428571428573</v>
      </c>
      <c r="C1677" s="140">
        <v>3</v>
      </c>
      <c r="D1677" s="215">
        <f>'linked - DO NOT USE or DELETE'!N537</f>
        <v>0</v>
      </c>
      <c r="E1677" s="138">
        <f t="shared" si="979"/>
        <v>0</v>
      </c>
      <c r="F1677" s="215">
        <f>'linked - DO NOT USE or DELETE'!P537</f>
        <v>0</v>
      </c>
      <c r="G1677" s="258" t="e">
        <f t="shared" si="980"/>
        <v>#DIV/0!</v>
      </c>
      <c r="H1677" s="141">
        <f>'linked - DO NOT USE or DELETE'!R537</f>
        <v>0</v>
      </c>
      <c r="I1677" s="706"/>
      <c r="J1677" s="201"/>
    </row>
    <row r="1678" spans="1:19" x14ac:dyDescent="0.25">
      <c r="A1678" s="148">
        <f>A$8</f>
        <v>1484</v>
      </c>
      <c r="B1678" s="152">
        <f t="shared" si="981"/>
        <v>-7.3578595317725752E-3</v>
      </c>
      <c r="C1678" s="140">
        <f t="shared" ref="C1678:C1684" si="982">C1677+1</f>
        <v>4</v>
      </c>
      <c r="D1678" s="215">
        <f>'linked - DO NOT USE or DELETE'!S537</f>
        <v>0</v>
      </c>
      <c r="E1678" s="138">
        <f t="shared" si="979"/>
        <v>0</v>
      </c>
      <c r="F1678" s="215">
        <f>'linked - DO NOT USE or DELETE'!U537</f>
        <v>0</v>
      </c>
      <c r="G1678" s="258" t="e">
        <f t="shared" si="980"/>
        <v>#DIV/0!</v>
      </c>
      <c r="H1678" s="141">
        <f>'linked - DO NOT USE or DELETE'!W537</f>
        <v>0</v>
      </c>
      <c r="I1678" s="706"/>
      <c r="J1678" s="201"/>
    </row>
    <row r="1679" spans="1:19" x14ac:dyDescent="0.25">
      <c r="A1679" s="148">
        <f>A$9</f>
        <v>1528</v>
      </c>
      <c r="B1679" s="152">
        <f t="shared" si="981"/>
        <v>2.9649595687331536E-2</v>
      </c>
      <c r="C1679" s="140">
        <f t="shared" si="982"/>
        <v>5</v>
      </c>
      <c r="D1679" s="148">
        <f>D1678*1.0252</f>
        <v>0</v>
      </c>
      <c r="E1679" s="138">
        <f t="shared" si="979"/>
        <v>0</v>
      </c>
      <c r="F1679" s="148">
        <v>0</v>
      </c>
      <c r="G1679" s="258" t="e">
        <f t="shared" si="980"/>
        <v>#DIV/0!</v>
      </c>
      <c r="H1679" s="141">
        <v>0</v>
      </c>
      <c r="I1679" s="706"/>
      <c r="J1679" s="201"/>
    </row>
    <row r="1680" spans="1:19" x14ac:dyDescent="0.25">
      <c r="A1680" s="148">
        <f>A$10</f>
        <v>1592</v>
      </c>
      <c r="B1680" s="152">
        <f t="shared" si="981"/>
        <v>4.1884816753926704E-2</v>
      </c>
      <c r="C1680" s="140">
        <f t="shared" si="982"/>
        <v>6</v>
      </c>
      <c r="D1680" s="148">
        <v>0</v>
      </c>
      <c r="E1680" s="138">
        <v>0</v>
      </c>
      <c r="F1680" s="148">
        <v>0</v>
      </c>
      <c r="G1680" s="258" t="e">
        <f t="shared" si="980"/>
        <v>#DIV/0!</v>
      </c>
      <c r="H1680" s="141">
        <v>0</v>
      </c>
      <c r="I1680" s="706"/>
      <c r="J1680" s="201"/>
    </row>
    <row r="1681" spans="1:11" x14ac:dyDescent="0.25">
      <c r="A1681" s="148">
        <f>A$11</f>
        <v>1642</v>
      </c>
      <c r="B1681" s="152">
        <f t="shared" si="981"/>
        <v>3.1407035175879394E-2</v>
      </c>
      <c r="C1681" s="140">
        <f t="shared" si="982"/>
        <v>7</v>
      </c>
      <c r="D1681" s="148"/>
      <c r="E1681" s="138"/>
      <c r="F1681" s="148">
        <f t="shared" ref="F1681:F1684" si="983">D1681*E1681</f>
        <v>0</v>
      </c>
      <c r="G1681" s="258" t="e">
        <f t="shared" si="980"/>
        <v>#DIV/0!</v>
      </c>
      <c r="H1681" s="141">
        <v>0</v>
      </c>
      <c r="I1681" s="706"/>
      <c r="J1681" s="204"/>
    </row>
    <row r="1682" spans="1:11" x14ac:dyDescent="0.25">
      <c r="A1682" s="148">
        <f>A$12</f>
        <v>1675</v>
      </c>
      <c r="B1682" s="152">
        <f t="shared" si="981"/>
        <v>2.0097442143727162E-2</v>
      </c>
      <c r="C1682" s="140">
        <f t="shared" si="982"/>
        <v>8</v>
      </c>
      <c r="D1682" s="148"/>
      <c r="E1682" s="138"/>
      <c r="F1682" s="148">
        <f t="shared" si="983"/>
        <v>0</v>
      </c>
      <c r="G1682" s="258" t="e">
        <f t="shared" si="980"/>
        <v>#DIV/0!</v>
      </c>
      <c r="H1682" s="141">
        <v>0</v>
      </c>
      <c r="I1682" s="706"/>
      <c r="J1682" s="204"/>
    </row>
    <row r="1683" spans="1:11" x14ac:dyDescent="0.25">
      <c r="A1683" s="148">
        <f>A$13</f>
        <v>1739</v>
      </c>
      <c r="B1683" s="152">
        <f t="shared" si="981"/>
        <v>3.8208955223880597E-2</v>
      </c>
      <c r="C1683" s="140">
        <f t="shared" si="982"/>
        <v>9</v>
      </c>
      <c r="D1683" s="148"/>
      <c r="E1683" s="138"/>
      <c r="F1683" s="148">
        <f t="shared" si="983"/>
        <v>0</v>
      </c>
      <c r="G1683" s="258" t="e">
        <f t="shared" si="980"/>
        <v>#DIV/0!</v>
      </c>
      <c r="H1683" s="141">
        <v>0</v>
      </c>
      <c r="I1683" s="706"/>
      <c r="J1683" s="204"/>
    </row>
    <row r="1684" spans="1:11" x14ac:dyDescent="0.25">
      <c r="A1684" s="148">
        <f>A$14</f>
        <v>1752</v>
      </c>
      <c r="B1684" s="152">
        <f t="shared" si="981"/>
        <v>7.4755606670500289E-3</v>
      </c>
      <c r="C1684" s="140">
        <f t="shared" si="982"/>
        <v>10</v>
      </c>
      <c r="D1684" s="148"/>
      <c r="E1684" s="138"/>
      <c r="F1684" s="148">
        <f t="shared" si="983"/>
        <v>0</v>
      </c>
      <c r="G1684" s="258" t="e">
        <f t="shared" si="980"/>
        <v>#DIV/0!</v>
      </c>
      <c r="H1684" s="141">
        <v>0</v>
      </c>
      <c r="I1684" s="707"/>
      <c r="J1684" s="204"/>
      <c r="K1684" s="285">
        <f>SUM(H1675:H1684)</f>
        <v>0</v>
      </c>
    </row>
    <row r="1685" spans="1:11" x14ac:dyDescent="0.25">
      <c r="A1685" s="77"/>
      <c r="B1685" s="77"/>
      <c r="C1685" s="77"/>
      <c r="D1685" s="217"/>
      <c r="E1685" s="218"/>
      <c r="F1685" s="86"/>
      <c r="G1685" s="86"/>
      <c r="H1685" s="86"/>
      <c r="I1685" s="309"/>
      <c r="J1685" s="77"/>
    </row>
    <row r="1686" spans="1:11" x14ac:dyDescent="0.25">
      <c r="A1686" s="691" t="s">
        <v>23</v>
      </c>
      <c r="B1686" s="691"/>
      <c r="C1686" s="691"/>
      <c r="D1686" s="691"/>
      <c r="E1686" s="692"/>
      <c r="F1686" s="699"/>
      <c r="G1686" s="699"/>
      <c r="H1686" s="699"/>
      <c r="I1686" s="705" t="s">
        <v>522</v>
      </c>
      <c r="J1686" s="205"/>
    </row>
    <row r="1687" spans="1:11" x14ac:dyDescent="0.25">
      <c r="A1687" s="151" t="s">
        <v>26</v>
      </c>
      <c r="B1687" s="151" t="s">
        <v>27</v>
      </c>
      <c r="C1687" s="157" t="s">
        <v>166</v>
      </c>
      <c r="D1687" s="260" t="s">
        <v>154</v>
      </c>
      <c r="E1687" s="261" t="s">
        <v>155</v>
      </c>
      <c r="F1687" s="262" t="s">
        <v>158</v>
      </c>
      <c r="G1687" s="239" t="s">
        <v>156</v>
      </c>
      <c r="H1687" s="239" t="s">
        <v>157</v>
      </c>
      <c r="I1687" s="706"/>
      <c r="J1687" s="203"/>
    </row>
    <row r="1688" spans="1:11" x14ac:dyDescent="0.25">
      <c r="A1688" s="148">
        <f>A$5</f>
        <v>1182</v>
      </c>
      <c r="B1688" s="148"/>
      <c r="C1688" s="137">
        <v>1</v>
      </c>
      <c r="D1688" s="215">
        <f>'linked - DO NOT USE or DELETE'!D550</f>
        <v>0</v>
      </c>
      <c r="E1688" s="138">
        <f>IF(F1688=0,0,F1688/D1688)</f>
        <v>0</v>
      </c>
      <c r="F1688" s="215">
        <f>'linked - DO NOT USE or DELETE'!F550</f>
        <v>0</v>
      </c>
      <c r="G1688" s="258" t="e">
        <f>H1688/F1688</f>
        <v>#DIV/0!</v>
      </c>
      <c r="H1688" s="216">
        <f>'linked - DO NOT USE or DELETE'!H550</f>
        <v>0</v>
      </c>
      <c r="I1688" s="706"/>
      <c r="J1688" s="200"/>
    </row>
    <row r="1689" spans="1:11" x14ac:dyDescent="0.25">
      <c r="A1689" s="148">
        <f>A$6</f>
        <v>1288</v>
      </c>
      <c r="B1689" s="152">
        <f>(A1689-A1688)/A1688</f>
        <v>8.9678510998307953E-2</v>
      </c>
      <c r="C1689" s="140">
        <v>2</v>
      </c>
      <c r="D1689" s="215">
        <f>'linked - DO NOT USE or DELETE'!I550</f>
        <v>0</v>
      </c>
      <c r="E1689" s="138">
        <f t="shared" ref="E1689:E1693" si="984">IF(F1689=0,0,F1689/D1689)</f>
        <v>0</v>
      </c>
      <c r="F1689" s="215">
        <f>'linked - DO NOT USE or DELETE'!K550</f>
        <v>0</v>
      </c>
      <c r="G1689" s="258" t="e">
        <f t="shared" ref="G1689:G1697" si="985">H1689/F1689</f>
        <v>#DIV/0!</v>
      </c>
      <c r="H1689" s="216">
        <f>'linked - DO NOT USE or DELETE'!M550</f>
        <v>0</v>
      </c>
      <c r="I1689" s="706"/>
      <c r="J1689" s="200"/>
    </row>
    <row r="1690" spans="1:11" x14ac:dyDescent="0.25">
      <c r="A1690" s="148">
        <f>A$7</f>
        <v>1495</v>
      </c>
      <c r="B1690" s="152">
        <f t="shared" ref="B1690:B1697" si="986">(A1690-A1689)/A1689</f>
        <v>0.16071428571428573</v>
      </c>
      <c r="C1690" s="140">
        <v>3</v>
      </c>
      <c r="D1690" s="215">
        <f>'linked - DO NOT USE or DELETE'!N550</f>
        <v>0</v>
      </c>
      <c r="E1690" s="138">
        <f t="shared" si="984"/>
        <v>0</v>
      </c>
      <c r="F1690" s="215">
        <f>'linked - DO NOT USE or DELETE'!P550</f>
        <v>0</v>
      </c>
      <c r="G1690" s="258" t="e">
        <f t="shared" si="985"/>
        <v>#DIV/0!</v>
      </c>
      <c r="H1690" s="141">
        <f>'linked - DO NOT USE or DELETE'!R550</f>
        <v>0</v>
      </c>
      <c r="I1690" s="706"/>
      <c r="J1690" s="201"/>
    </row>
    <row r="1691" spans="1:11" x14ac:dyDescent="0.25">
      <c r="A1691" s="148">
        <f>A$8</f>
        <v>1484</v>
      </c>
      <c r="B1691" s="152">
        <f t="shared" si="986"/>
        <v>-7.3578595317725752E-3</v>
      </c>
      <c r="C1691" s="140">
        <f t="shared" ref="C1691:C1697" si="987">C1690+1</f>
        <v>4</v>
      </c>
      <c r="D1691" s="215">
        <f>'Appendix J-2'!S113</f>
        <v>1</v>
      </c>
      <c r="E1691" s="138">
        <f t="shared" si="984"/>
        <v>24</v>
      </c>
      <c r="F1691" s="215">
        <f>'Appendix J-2'!U113</f>
        <v>24</v>
      </c>
      <c r="G1691" s="258">
        <f t="shared" si="985"/>
        <v>11.25</v>
      </c>
      <c r="H1691" s="141">
        <f>'Appendix J-2'!W113</f>
        <v>270</v>
      </c>
      <c r="I1691" s="706"/>
      <c r="J1691" s="201"/>
    </row>
    <row r="1692" spans="1:11" x14ac:dyDescent="0.25">
      <c r="A1692" s="148">
        <f>A$9</f>
        <v>1528</v>
      </c>
      <c r="B1692" s="152">
        <f t="shared" si="986"/>
        <v>2.9649595687331536E-2</v>
      </c>
      <c r="C1692" s="140">
        <f t="shared" si="987"/>
        <v>5</v>
      </c>
      <c r="D1692" s="148">
        <v>0</v>
      </c>
      <c r="E1692" s="138">
        <f t="shared" si="984"/>
        <v>0</v>
      </c>
      <c r="F1692" s="148">
        <v>0</v>
      </c>
      <c r="G1692" s="258" t="e">
        <f t="shared" si="985"/>
        <v>#DIV/0!</v>
      </c>
      <c r="H1692" s="141">
        <v>0</v>
      </c>
      <c r="I1692" s="706"/>
      <c r="J1692" s="201"/>
    </row>
    <row r="1693" spans="1:11" x14ac:dyDescent="0.25">
      <c r="A1693" s="148">
        <f>A$10</f>
        <v>1592</v>
      </c>
      <c r="B1693" s="152">
        <f t="shared" si="986"/>
        <v>4.1884816753926704E-2</v>
      </c>
      <c r="C1693" s="140">
        <f t="shared" si="987"/>
        <v>6</v>
      </c>
      <c r="D1693" s="148">
        <v>0</v>
      </c>
      <c r="E1693" s="138">
        <f t="shared" si="984"/>
        <v>0</v>
      </c>
      <c r="F1693" s="148">
        <v>0</v>
      </c>
      <c r="G1693" s="258" t="e">
        <f t="shared" si="985"/>
        <v>#DIV/0!</v>
      </c>
      <c r="H1693" s="141">
        <v>0</v>
      </c>
      <c r="I1693" s="706"/>
      <c r="J1693" s="201"/>
    </row>
    <row r="1694" spans="1:11" x14ac:dyDescent="0.25">
      <c r="A1694" s="148">
        <f>A$11</f>
        <v>1642</v>
      </c>
      <c r="B1694" s="152">
        <f t="shared" si="986"/>
        <v>3.1407035175879394E-2</v>
      </c>
      <c r="C1694" s="140">
        <f t="shared" si="987"/>
        <v>7</v>
      </c>
      <c r="D1694" s="148"/>
      <c r="E1694" s="138"/>
      <c r="F1694" s="148">
        <f t="shared" ref="F1694:F1697" si="988">D1694*E1694</f>
        <v>0</v>
      </c>
      <c r="G1694" s="258" t="e">
        <f t="shared" si="985"/>
        <v>#DIV/0!</v>
      </c>
      <c r="H1694" s="141">
        <v>0</v>
      </c>
      <c r="I1694" s="706"/>
      <c r="J1694" s="204"/>
    </row>
    <row r="1695" spans="1:11" x14ac:dyDescent="0.25">
      <c r="A1695" s="148">
        <f>A$12</f>
        <v>1675</v>
      </c>
      <c r="B1695" s="152">
        <f t="shared" si="986"/>
        <v>2.0097442143727162E-2</v>
      </c>
      <c r="C1695" s="140">
        <f t="shared" si="987"/>
        <v>8</v>
      </c>
      <c r="D1695" s="148"/>
      <c r="E1695" s="138"/>
      <c r="F1695" s="148">
        <f t="shared" si="988"/>
        <v>0</v>
      </c>
      <c r="G1695" s="258" t="e">
        <f t="shared" si="985"/>
        <v>#DIV/0!</v>
      </c>
      <c r="H1695" s="141">
        <v>0</v>
      </c>
      <c r="I1695" s="706"/>
      <c r="J1695" s="204"/>
    </row>
    <row r="1696" spans="1:11" x14ac:dyDescent="0.25">
      <c r="A1696" s="148">
        <f>A$13</f>
        <v>1739</v>
      </c>
      <c r="B1696" s="152">
        <f t="shared" si="986"/>
        <v>3.8208955223880597E-2</v>
      </c>
      <c r="C1696" s="140">
        <f t="shared" si="987"/>
        <v>9</v>
      </c>
      <c r="D1696" s="148"/>
      <c r="E1696" s="138"/>
      <c r="F1696" s="148">
        <f t="shared" si="988"/>
        <v>0</v>
      </c>
      <c r="G1696" s="258" t="e">
        <f t="shared" si="985"/>
        <v>#DIV/0!</v>
      </c>
      <c r="H1696" s="141">
        <v>0</v>
      </c>
      <c r="I1696" s="706"/>
      <c r="J1696" s="204"/>
    </row>
    <row r="1697" spans="1:12" x14ac:dyDescent="0.25">
      <c r="A1697" s="148">
        <f>A$14</f>
        <v>1752</v>
      </c>
      <c r="B1697" s="152">
        <f t="shared" si="986"/>
        <v>7.4755606670500289E-3</v>
      </c>
      <c r="C1697" s="140">
        <f t="shared" si="987"/>
        <v>10</v>
      </c>
      <c r="D1697" s="148"/>
      <c r="E1697" s="138"/>
      <c r="F1697" s="148">
        <f t="shared" si="988"/>
        <v>0</v>
      </c>
      <c r="G1697" s="258" t="e">
        <f t="shared" si="985"/>
        <v>#DIV/0!</v>
      </c>
      <c r="H1697" s="141">
        <v>0</v>
      </c>
      <c r="I1697" s="707"/>
      <c r="J1697" s="204"/>
      <c r="K1697" s="287">
        <f>SUM(H1688:H1697)</f>
        <v>270</v>
      </c>
      <c r="L1697" s="17">
        <f>IF(K1697='Appendix J-2'!CD113,0,error)</f>
        <v>0</v>
      </c>
    </row>
    <row r="1699" spans="1:12" x14ac:dyDescent="0.25">
      <c r="A1699" s="397" t="s">
        <v>24</v>
      </c>
      <c r="B1699" s="397"/>
      <c r="C1699" s="397"/>
      <c r="D1699" s="398" t="str">
        <f>'Appendix J-2'!B100</f>
        <v>Session</v>
      </c>
      <c r="E1699" s="399" t="str">
        <f>'Appendix J-2'!C100</f>
        <v>45 minutes</v>
      </c>
      <c r="F1699" s="699"/>
      <c r="G1699" s="699"/>
      <c r="H1699" s="699"/>
      <c r="I1699" s="705" t="s">
        <v>521</v>
      </c>
      <c r="J1699" s="205"/>
    </row>
    <row r="1700" spans="1:12" x14ac:dyDescent="0.25">
      <c r="A1700" s="151" t="s">
        <v>26</v>
      </c>
      <c r="B1700" s="151" t="s">
        <v>27</v>
      </c>
      <c r="C1700" s="329" t="s">
        <v>166</v>
      </c>
      <c r="D1700" s="260" t="s">
        <v>154</v>
      </c>
      <c r="E1700" s="261" t="s">
        <v>155</v>
      </c>
      <c r="F1700" s="262" t="s">
        <v>158</v>
      </c>
      <c r="G1700" s="329" t="s">
        <v>156</v>
      </c>
      <c r="H1700" s="329" t="s">
        <v>157</v>
      </c>
      <c r="I1700" s="706"/>
      <c r="J1700" s="205"/>
    </row>
    <row r="1701" spans="1:12" x14ac:dyDescent="0.25">
      <c r="A1701" s="148">
        <f>A$5</f>
        <v>1182</v>
      </c>
      <c r="B1701" s="148"/>
      <c r="C1701" s="137">
        <v>1</v>
      </c>
      <c r="D1701" s="215">
        <f>'linked - DO NOT USE or DELETE'!D563</f>
        <v>0</v>
      </c>
      <c r="E1701" s="138">
        <f t="shared" ref="E1701:E1709" si="989">IF(F1701=0,0,F1701/D1701)</f>
        <v>0</v>
      </c>
      <c r="F1701" s="215">
        <f>'linked - DO NOT USE or DELETE'!F563</f>
        <v>0</v>
      </c>
      <c r="G1701" s="139" t="e">
        <f t="shared" ref="G1701:G1709" si="990">H1701/F1701</f>
        <v>#DIV/0!</v>
      </c>
      <c r="H1701" s="216">
        <f>'linked - DO NOT USE or DELETE'!H563</f>
        <v>0</v>
      </c>
      <c r="I1701" s="706"/>
      <c r="J1701" s="205"/>
    </row>
    <row r="1702" spans="1:12" x14ac:dyDescent="0.25">
      <c r="A1702" s="148">
        <f>A$6</f>
        <v>1288</v>
      </c>
      <c r="B1702" s="152">
        <f>(A1702-A1701)/A1701</f>
        <v>8.9678510998307953E-2</v>
      </c>
      <c r="C1702" s="140">
        <v>2</v>
      </c>
      <c r="D1702" s="215">
        <f>'linked - DO NOT USE or DELETE'!I563</f>
        <v>0</v>
      </c>
      <c r="E1702" s="138">
        <f t="shared" si="989"/>
        <v>0</v>
      </c>
      <c r="F1702" s="215">
        <f>'linked - DO NOT USE or DELETE'!K563</f>
        <v>0</v>
      </c>
      <c r="G1702" s="139" t="e">
        <f t="shared" si="990"/>
        <v>#DIV/0!</v>
      </c>
      <c r="H1702" s="216">
        <f>'linked - DO NOT USE or DELETE'!M563</f>
        <v>0</v>
      </c>
      <c r="I1702" s="706"/>
      <c r="J1702" s="205"/>
    </row>
    <row r="1703" spans="1:12" x14ac:dyDescent="0.25">
      <c r="A1703" s="148">
        <f>A$7</f>
        <v>1495</v>
      </c>
      <c r="B1703" s="152">
        <f t="shared" ref="B1703:B1715" si="991">(A1703-A1702)/A1702</f>
        <v>0.16071428571428573</v>
      </c>
      <c r="C1703" s="140">
        <v>3</v>
      </c>
      <c r="D1703" s="215">
        <f>'linked - DO NOT USE or DELETE'!N563</f>
        <v>0</v>
      </c>
      <c r="E1703" s="138">
        <f t="shared" si="989"/>
        <v>0</v>
      </c>
      <c r="F1703" s="215">
        <f>'linked - DO NOT USE or DELETE'!P563</f>
        <v>0</v>
      </c>
      <c r="G1703" s="139" t="e">
        <f t="shared" si="990"/>
        <v>#DIV/0!</v>
      </c>
      <c r="H1703" s="141">
        <f>'linked - DO NOT USE or DELETE'!R563</f>
        <v>0</v>
      </c>
      <c r="I1703" s="706"/>
      <c r="J1703" s="205"/>
    </row>
    <row r="1704" spans="1:12" x14ac:dyDescent="0.25">
      <c r="A1704" s="148">
        <f>A$8</f>
        <v>1484</v>
      </c>
      <c r="B1704" s="152">
        <f t="shared" si="991"/>
        <v>-7.3578595317725752E-3</v>
      </c>
      <c r="C1704" s="140">
        <f t="shared" ref="C1704:C1715" si="992">C1703+1</f>
        <v>4</v>
      </c>
      <c r="D1704" s="215">
        <f>'Appendix J-2'!S100</f>
        <v>0</v>
      </c>
      <c r="E1704" s="138">
        <f t="shared" si="989"/>
        <v>0</v>
      </c>
      <c r="F1704" s="215">
        <f>'Appendix J-2'!U100</f>
        <v>0</v>
      </c>
      <c r="G1704" s="139" t="e">
        <f t="shared" si="990"/>
        <v>#DIV/0!</v>
      </c>
      <c r="H1704" s="141">
        <f>'Appendix J-2'!W100</f>
        <v>0</v>
      </c>
      <c r="I1704" s="706"/>
      <c r="J1704" s="205"/>
    </row>
    <row r="1705" spans="1:12" x14ac:dyDescent="0.25">
      <c r="A1705" s="148">
        <f>A$9</f>
        <v>1528</v>
      </c>
      <c r="B1705" s="152">
        <f t="shared" si="991"/>
        <v>2.9649595687331536E-2</v>
      </c>
      <c r="C1705" s="140">
        <f t="shared" si="992"/>
        <v>5</v>
      </c>
      <c r="D1705" s="148">
        <f>'Appendix J-2'!X100</f>
        <v>0</v>
      </c>
      <c r="E1705" s="138">
        <f t="shared" si="989"/>
        <v>0</v>
      </c>
      <c r="F1705" s="148">
        <f>'Appendix J-2'!Z100</f>
        <v>0</v>
      </c>
      <c r="G1705" s="139" t="e">
        <f t="shared" si="990"/>
        <v>#DIV/0!</v>
      </c>
      <c r="H1705" s="141">
        <f>'Appendix J-2'!AB100</f>
        <v>0</v>
      </c>
      <c r="I1705" s="706"/>
      <c r="J1705" s="205"/>
    </row>
    <row r="1706" spans="1:12" x14ac:dyDescent="0.25">
      <c r="A1706" s="148">
        <f>A$10</f>
        <v>1592</v>
      </c>
      <c r="B1706" s="152">
        <f t="shared" si="991"/>
        <v>4.1884816753926704E-2</v>
      </c>
      <c r="C1706" s="140">
        <f t="shared" si="992"/>
        <v>6</v>
      </c>
      <c r="D1706" s="148">
        <f>'Appendix J-2'!AC100</f>
        <v>0</v>
      </c>
      <c r="E1706" s="138">
        <f t="shared" si="989"/>
        <v>0</v>
      </c>
      <c r="F1706" s="148">
        <f>'Appendix J-2'!AE100</f>
        <v>0</v>
      </c>
      <c r="G1706" s="139" t="e">
        <f t="shared" si="990"/>
        <v>#DIV/0!</v>
      </c>
      <c r="H1706" s="141">
        <f>'Appendix J-2'!AG100</f>
        <v>0</v>
      </c>
      <c r="I1706" s="706"/>
      <c r="J1706" s="205"/>
    </row>
    <row r="1707" spans="1:12" x14ac:dyDescent="0.25">
      <c r="A1707" s="148">
        <f>A$11</f>
        <v>1642</v>
      </c>
      <c r="B1707" s="152">
        <f t="shared" si="991"/>
        <v>3.1407035175879394E-2</v>
      </c>
      <c r="C1707" s="140">
        <f t="shared" si="992"/>
        <v>7</v>
      </c>
      <c r="D1707" s="148">
        <f>'Appendix J-2'!AH100</f>
        <v>0</v>
      </c>
      <c r="E1707" s="138">
        <f t="shared" si="989"/>
        <v>0</v>
      </c>
      <c r="F1707" s="148">
        <f>'Appendix J-2'!AJ100</f>
        <v>0</v>
      </c>
      <c r="G1707" s="139" t="e">
        <f t="shared" si="990"/>
        <v>#DIV/0!</v>
      </c>
      <c r="H1707" s="141">
        <f>'Appendix J-2'!AL100</f>
        <v>0</v>
      </c>
      <c r="I1707" s="706"/>
      <c r="J1707" s="205"/>
    </row>
    <row r="1708" spans="1:12" x14ac:dyDescent="0.25">
      <c r="A1708" s="148">
        <f>A$12</f>
        <v>1675</v>
      </c>
      <c r="B1708" s="152">
        <f t="shared" si="991"/>
        <v>2.0097442143727162E-2</v>
      </c>
      <c r="C1708" s="140">
        <f t="shared" si="992"/>
        <v>8</v>
      </c>
      <c r="D1708" s="148">
        <f>'Appendix J-2'!AM100</f>
        <v>0</v>
      </c>
      <c r="E1708" s="138">
        <f t="shared" si="989"/>
        <v>0</v>
      </c>
      <c r="F1708" s="148">
        <f>'Appendix J-2'!AO100</f>
        <v>0</v>
      </c>
      <c r="G1708" s="139" t="e">
        <f t="shared" si="990"/>
        <v>#DIV/0!</v>
      </c>
      <c r="H1708" s="141">
        <f>'Appendix J-2'!AQ100</f>
        <v>0</v>
      </c>
      <c r="I1708" s="706"/>
      <c r="J1708" s="205"/>
    </row>
    <row r="1709" spans="1:12" x14ac:dyDescent="0.25">
      <c r="A1709" s="148">
        <f>A$13</f>
        <v>1739</v>
      </c>
      <c r="B1709" s="152">
        <f t="shared" si="991"/>
        <v>3.8208955223880597E-2</v>
      </c>
      <c r="C1709" s="140">
        <f t="shared" si="992"/>
        <v>9</v>
      </c>
      <c r="D1709" s="148">
        <f>'Appendix J-2'!AR100</f>
        <v>0</v>
      </c>
      <c r="E1709" s="138">
        <f t="shared" si="989"/>
        <v>0</v>
      </c>
      <c r="F1709" s="148">
        <f>'Appendix J-2'!AT100</f>
        <v>0</v>
      </c>
      <c r="G1709" s="139" t="e">
        <f t="shared" si="990"/>
        <v>#DIV/0!</v>
      </c>
      <c r="H1709" s="141">
        <f>'Appendix J-2'!AV100</f>
        <v>0</v>
      </c>
      <c r="I1709" s="706"/>
      <c r="J1709" s="205"/>
    </row>
    <row r="1710" spans="1:12" x14ac:dyDescent="0.25">
      <c r="A1710" s="148">
        <f>A$14</f>
        <v>1752</v>
      </c>
      <c r="B1710" s="152">
        <f t="shared" si="991"/>
        <v>7.4755606670500289E-3</v>
      </c>
      <c r="C1710" s="140">
        <f t="shared" si="992"/>
        <v>10</v>
      </c>
      <c r="D1710" s="400">
        <f>ROUND((TREND($D$1701:$D$1709,$A$1701:$A$1709,A1710)),0)</f>
        <v>0</v>
      </c>
      <c r="E1710" s="401">
        <f>TREND($E$1701:$E$1709,$A$1701:$A$1709,A1710)</f>
        <v>0</v>
      </c>
      <c r="F1710" s="148">
        <f t="shared" ref="F1710" si="993">D1710*E1710</f>
        <v>0</v>
      </c>
      <c r="G1710" s="139">
        <f>'DDS Rates for Amend'!CS17</f>
        <v>25.25</v>
      </c>
      <c r="H1710" s="141">
        <f t="shared" ref="H1710" si="994">F1710*G1710</f>
        <v>0</v>
      </c>
      <c r="I1710" s="706"/>
      <c r="J1710" s="205"/>
    </row>
    <row r="1711" spans="1:12" x14ac:dyDescent="0.25">
      <c r="A1711" s="148">
        <f>A$15</f>
        <v>1822</v>
      </c>
      <c r="B1711" s="152">
        <f t="shared" si="991"/>
        <v>3.9954337899543377E-2</v>
      </c>
      <c r="C1711" s="140">
        <f t="shared" si="992"/>
        <v>11</v>
      </c>
      <c r="D1711" s="400">
        <f t="shared" ref="D1711:D1715" si="995">ROUND((TREND($D$1701:$D$1709,$A$1701:$A$1709,A1711)),0)</f>
        <v>0</v>
      </c>
      <c r="E1711" s="401">
        <f t="shared" ref="E1711:E1715" si="996">TREND($E$1701:$E$1709,$A$1701:$A$1709,A1711)</f>
        <v>0</v>
      </c>
      <c r="F1711" s="148">
        <f t="shared" ref="F1711:F1715" si="997">D1711*E1711</f>
        <v>0</v>
      </c>
      <c r="G1711" s="139">
        <f>'DDS Rates for Amend'!CS18</f>
        <v>25.906500000000001</v>
      </c>
      <c r="H1711" s="141">
        <f t="shared" ref="H1711:H1715" si="998">F1711*G1711</f>
        <v>0</v>
      </c>
      <c r="I1711" s="706"/>
      <c r="J1711" s="205"/>
    </row>
    <row r="1712" spans="1:12" x14ac:dyDescent="0.25">
      <c r="A1712" s="148">
        <f>A$16</f>
        <v>1872</v>
      </c>
      <c r="B1712" s="152">
        <f t="shared" si="991"/>
        <v>2.7442371020856202E-2</v>
      </c>
      <c r="C1712" s="140">
        <f t="shared" si="992"/>
        <v>12</v>
      </c>
      <c r="D1712" s="400">
        <f t="shared" si="995"/>
        <v>0</v>
      </c>
      <c r="E1712" s="401">
        <f t="shared" si="996"/>
        <v>0</v>
      </c>
      <c r="F1712" s="148">
        <f t="shared" si="997"/>
        <v>0</v>
      </c>
      <c r="G1712" s="139">
        <f>'DDS Rates for Amend'!CS19</f>
        <v>26.580069000000002</v>
      </c>
      <c r="H1712" s="141">
        <f t="shared" si="998"/>
        <v>0</v>
      </c>
      <c r="I1712" s="706"/>
      <c r="J1712" s="205"/>
    </row>
    <row r="1713" spans="1:12" x14ac:dyDescent="0.25">
      <c r="A1713" s="148">
        <f>A$17</f>
        <v>1902</v>
      </c>
      <c r="B1713" s="152">
        <f t="shared" si="991"/>
        <v>1.6025641025641024E-2</v>
      </c>
      <c r="C1713" s="140">
        <f t="shared" si="992"/>
        <v>13</v>
      </c>
      <c r="D1713" s="400">
        <f t="shared" si="995"/>
        <v>0</v>
      </c>
      <c r="E1713" s="401">
        <f t="shared" si="996"/>
        <v>0</v>
      </c>
      <c r="F1713" s="148">
        <f t="shared" si="997"/>
        <v>0</v>
      </c>
      <c r="G1713" s="139">
        <f>'DDS Rates for Amend'!CS20</f>
        <v>27.271150794</v>
      </c>
      <c r="H1713" s="141">
        <f t="shared" si="998"/>
        <v>0</v>
      </c>
      <c r="I1713" s="706"/>
      <c r="J1713" s="205"/>
    </row>
    <row r="1714" spans="1:12" x14ac:dyDescent="0.25">
      <c r="A1714" s="148">
        <f>A$18</f>
        <v>1932</v>
      </c>
      <c r="B1714" s="152">
        <f t="shared" si="991"/>
        <v>1.5772870662460567E-2</v>
      </c>
      <c r="C1714" s="140">
        <f t="shared" si="992"/>
        <v>14</v>
      </c>
      <c r="D1714" s="400">
        <f t="shared" si="995"/>
        <v>0</v>
      </c>
      <c r="E1714" s="401">
        <f t="shared" si="996"/>
        <v>0</v>
      </c>
      <c r="F1714" s="148">
        <f t="shared" si="997"/>
        <v>0</v>
      </c>
      <c r="G1714" s="139">
        <f>'DDS Rates for Amend'!CS21</f>
        <v>27.980200714643999</v>
      </c>
      <c r="H1714" s="141">
        <f t="shared" si="998"/>
        <v>0</v>
      </c>
      <c r="I1714" s="706"/>
      <c r="J1714" s="205"/>
    </row>
    <row r="1715" spans="1:12" x14ac:dyDescent="0.25">
      <c r="A1715" s="148">
        <f>A$19</f>
        <v>1962</v>
      </c>
      <c r="B1715" s="152">
        <f t="shared" si="991"/>
        <v>1.5527950310559006E-2</v>
      </c>
      <c r="C1715" s="140">
        <f t="shared" si="992"/>
        <v>15</v>
      </c>
      <c r="D1715" s="400">
        <f t="shared" si="995"/>
        <v>0</v>
      </c>
      <c r="E1715" s="401">
        <f t="shared" si="996"/>
        <v>0</v>
      </c>
      <c r="F1715" s="148">
        <f t="shared" si="997"/>
        <v>0</v>
      </c>
      <c r="G1715" s="139">
        <f>'DDS Rates for Amend'!CS22</f>
        <v>28.707685933224742</v>
      </c>
      <c r="H1715" s="141">
        <f t="shared" si="998"/>
        <v>0</v>
      </c>
      <c r="I1715" s="707"/>
      <c r="J1715" s="205"/>
      <c r="K1715" s="285">
        <f>SUM(H1701:H1715)</f>
        <v>0</v>
      </c>
      <c r="L1715" s="17">
        <f>IF(K1715='Appendix J-2'!CD100,0,error)</f>
        <v>0</v>
      </c>
    </row>
    <row r="1717" spans="1:12" x14ac:dyDescent="0.25">
      <c r="A1717" s="296" t="s">
        <v>25</v>
      </c>
      <c r="B1717" s="296"/>
      <c r="C1717" s="296"/>
      <c r="D1717" s="300" t="str">
        <f>'Appendix J-2'!B101</f>
        <v>Session</v>
      </c>
      <c r="E1717" s="301" t="str">
        <f>'Appendix J-2'!C101</f>
        <v>15 minutes</v>
      </c>
      <c r="F1717" s="690"/>
      <c r="G1717" s="690"/>
      <c r="H1717" s="690"/>
      <c r="I1717" s="687" t="s">
        <v>1132</v>
      </c>
      <c r="J1717" s="205"/>
    </row>
    <row r="1718" spans="1:12" x14ac:dyDescent="0.25">
      <c r="A1718" s="147" t="s">
        <v>26</v>
      </c>
      <c r="B1718" s="147" t="s">
        <v>27</v>
      </c>
      <c r="C1718" s="51" t="s">
        <v>166</v>
      </c>
      <c r="D1718" s="91" t="s">
        <v>154</v>
      </c>
      <c r="E1718" s="89" t="s">
        <v>155</v>
      </c>
      <c r="F1718" s="34" t="s">
        <v>158</v>
      </c>
      <c r="G1718" s="35" t="s">
        <v>156</v>
      </c>
      <c r="H1718" s="51" t="s">
        <v>157</v>
      </c>
      <c r="I1718" s="688"/>
      <c r="J1718" s="205"/>
    </row>
    <row r="1719" spans="1:12" x14ac:dyDescent="0.25">
      <c r="A1719" s="21">
        <f>A$5</f>
        <v>1182</v>
      </c>
      <c r="B1719" s="148"/>
      <c r="C1719" s="144">
        <v>1</v>
      </c>
      <c r="D1719" s="210">
        <f>'linked - DO NOT USE or DELETE'!D576</f>
        <v>0</v>
      </c>
      <c r="E1719" s="22">
        <f t="shared" ref="E1719:E1727" si="999">IF(F1719=0,0,F1719/D1719)</f>
        <v>0</v>
      </c>
      <c r="F1719" s="210">
        <f>'linked - DO NOT USE or DELETE'!F576</f>
        <v>0</v>
      </c>
      <c r="G1719" s="25" t="e">
        <f t="shared" ref="G1719:G1727" si="1000">H1719/F1719</f>
        <v>#DIV/0!</v>
      </c>
      <c r="H1719" s="211">
        <f>'linked - DO NOT USE or DELETE'!H576</f>
        <v>0</v>
      </c>
      <c r="I1719" s="688"/>
      <c r="J1719" s="205"/>
    </row>
    <row r="1720" spans="1:12" x14ac:dyDescent="0.25">
      <c r="A1720" s="21">
        <f>A$6</f>
        <v>1288</v>
      </c>
      <c r="B1720" s="149">
        <f>(A1720-A1719)/A1719</f>
        <v>8.9678510998307953E-2</v>
      </c>
      <c r="C1720" s="52">
        <v>2</v>
      </c>
      <c r="D1720" s="210">
        <f>'linked - DO NOT USE or DELETE'!I576</f>
        <v>0</v>
      </c>
      <c r="E1720" s="22">
        <f t="shared" si="999"/>
        <v>0</v>
      </c>
      <c r="F1720" s="210">
        <f>'linked - DO NOT USE or DELETE'!K576</f>
        <v>0</v>
      </c>
      <c r="G1720" s="25" t="e">
        <f t="shared" si="1000"/>
        <v>#DIV/0!</v>
      </c>
      <c r="H1720" s="211">
        <f>'linked - DO NOT USE or DELETE'!M576</f>
        <v>0</v>
      </c>
      <c r="I1720" s="688"/>
      <c r="J1720" s="205"/>
    </row>
    <row r="1721" spans="1:12" x14ac:dyDescent="0.25">
      <c r="A1721" s="21">
        <f>A$7</f>
        <v>1495</v>
      </c>
      <c r="B1721" s="149">
        <f t="shared" ref="B1721:B1733" si="1001">(A1721-A1720)/A1720</f>
        <v>0.16071428571428573</v>
      </c>
      <c r="C1721" s="52">
        <v>3</v>
      </c>
      <c r="D1721" s="210">
        <f>'linked - DO NOT USE or DELETE'!N576</f>
        <v>0</v>
      </c>
      <c r="E1721" s="22">
        <f t="shared" si="999"/>
        <v>0</v>
      </c>
      <c r="F1721" s="210">
        <f>'linked - DO NOT USE or DELETE'!P576</f>
        <v>0</v>
      </c>
      <c r="G1721" s="25" t="e">
        <f t="shared" si="1000"/>
        <v>#DIV/0!</v>
      </c>
      <c r="H1721" s="33">
        <f>'linked - DO NOT USE or DELETE'!R576</f>
        <v>0</v>
      </c>
      <c r="I1721" s="688"/>
      <c r="J1721" s="205"/>
    </row>
    <row r="1722" spans="1:12" x14ac:dyDescent="0.25">
      <c r="A1722" s="21">
        <f>A$8</f>
        <v>1484</v>
      </c>
      <c r="B1722" s="149">
        <f t="shared" si="1001"/>
        <v>-7.3578595317725752E-3</v>
      </c>
      <c r="C1722" s="52">
        <f t="shared" ref="C1722:C1733" si="1002">C1721+1</f>
        <v>4</v>
      </c>
      <c r="D1722" s="247">
        <f>'Appendix J-2'!S101</f>
        <v>0</v>
      </c>
      <c r="E1722" s="22">
        <f t="shared" si="999"/>
        <v>0</v>
      </c>
      <c r="F1722" s="247">
        <f>'Appendix J-2'!U101</f>
        <v>0</v>
      </c>
      <c r="G1722" s="25" t="e">
        <f t="shared" si="1000"/>
        <v>#DIV/0!</v>
      </c>
      <c r="H1722" s="248">
        <f>'Appendix J-2'!W101</f>
        <v>0</v>
      </c>
      <c r="I1722" s="688"/>
      <c r="J1722" s="205"/>
    </row>
    <row r="1723" spans="1:12" x14ac:dyDescent="0.25">
      <c r="A1723" s="21">
        <f>A$9</f>
        <v>1528</v>
      </c>
      <c r="B1723" s="149">
        <f t="shared" si="1001"/>
        <v>2.9649595687331536E-2</v>
      </c>
      <c r="C1723" s="52">
        <f t="shared" si="1002"/>
        <v>5</v>
      </c>
      <c r="D1723" s="249">
        <f>'Appendix J-2'!X101</f>
        <v>0</v>
      </c>
      <c r="E1723" s="22">
        <f t="shared" si="999"/>
        <v>0</v>
      </c>
      <c r="F1723" s="249">
        <f>'Appendix J-2'!Z101</f>
        <v>0</v>
      </c>
      <c r="G1723" s="25" t="e">
        <f t="shared" si="1000"/>
        <v>#DIV/0!</v>
      </c>
      <c r="H1723" s="248">
        <f>'Appendix J-2'!AB101</f>
        <v>0</v>
      </c>
      <c r="I1723" s="688"/>
      <c r="J1723" s="205"/>
    </row>
    <row r="1724" spans="1:12" x14ac:dyDescent="0.25">
      <c r="A1724" s="21">
        <f>A$10</f>
        <v>1592</v>
      </c>
      <c r="B1724" s="149">
        <f t="shared" si="1001"/>
        <v>4.1884816753926704E-2</v>
      </c>
      <c r="C1724" s="52">
        <f t="shared" si="1002"/>
        <v>6</v>
      </c>
      <c r="D1724" s="249">
        <f>'Appendix J-2'!AC101</f>
        <v>0</v>
      </c>
      <c r="E1724" s="22">
        <f t="shared" si="999"/>
        <v>0</v>
      </c>
      <c r="F1724" s="249">
        <f>'Appendix J-2'!AE101</f>
        <v>0</v>
      </c>
      <c r="G1724" s="25" t="e">
        <f t="shared" si="1000"/>
        <v>#DIV/0!</v>
      </c>
      <c r="H1724" s="248">
        <f>'Appendix J-2'!AG101</f>
        <v>0</v>
      </c>
      <c r="I1724" s="688"/>
      <c r="J1724" s="205"/>
    </row>
    <row r="1725" spans="1:12" x14ac:dyDescent="0.25">
      <c r="A1725" s="21">
        <f>A$11</f>
        <v>1642</v>
      </c>
      <c r="B1725" s="149">
        <f t="shared" si="1001"/>
        <v>3.1407035175879394E-2</v>
      </c>
      <c r="C1725" s="20">
        <f t="shared" si="1002"/>
        <v>7</v>
      </c>
      <c r="D1725" s="249">
        <f>'Appendix J-2'!AH101</f>
        <v>0</v>
      </c>
      <c r="E1725" s="22">
        <f t="shared" si="999"/>
        <v>0</v>
      </c>
      <c r="F1725" s="249">
        <f>'Appendix J-2'!AJ101</f>
        <v>0</v>
      </c>
      <c r="G1725" s="25" t="e">
        <f t="shared" si="1000"/>
        <v>#DIV/0!</v>
      </c>
      <c r="H1725" s="248">
        <f>'Appendix J-2'!AL101</f>
        <v>0</v>
      </c>
      <c r="I1725" s="688"/>
      <c r="J1725" s="205"/>
    </row>
    <row r="1726" spans="1:12" x14ac:dyDescent="0.25">
      <c r="A1726" s="21">
        <f>A$12</f>
        <v>1675</v>
      </c>
      <c r="B1726" s="149">
        <f t="shared" si="1001"/>
        <v>2.0097442143727162E-2</v>
      </c>
      <c r="C1726" s="20">
        <f t="shared" si="1002"/>
        <v>8</v>
      </c>
      <c r="D1726" s="249">
        <f>'Appendix J-2'!AM101</f>
        <v>0</v>
      </c>
      <c r="E1726" s="22">
        <f t="shared" si="999"/>
        <v>0</v>
      </c>
      <c r="F1726" s="249">
        <f>'Appendix J-2'!AO101</f>
        <v>0</v>
      </c>
      <c r="G1726" s="25" t="e">
        <f t="shared" si="1000"/>
        <v>#DIV/0!</v>
      </c>
      <c r="H1726" s="248">
        <f>'Appendix J-2'!AQ101</f>
        <v>0</v>
      </c>
      <c r="I1726" s="688"/>
      <c r="J1726" s="205"/>
    </row>
    <row r="1727" spans="1:12" x14ac:dyDescent="0.25">
      <c r="A1727" s="21">
        <f>A$13</f>
        <v>1739</v>
      </c>
      <c r="B1727" s="149">
        <f t="shared" si="1001"/>
        <v>3.8208955223880597E-2</v>
      </c>
      <c r="C1727" s="20">
        <f t="shared" si="1002"/>
        <v>9</v>
      </c>
      <c r="D1727" s="249">
        <f>'Appendix J-2'!AR101</f>
        <v>0</v>
      </c>
      <c r="E1727" s="22">
        <f t="shared" si="999"/>
        <v>0</v>
      </c>
      <c r="F1727" s="249">
        <f>'Appendix J-2'!AT101</f>
        <v>0</v>
      </c>
      <c r="G1727" s="25" t="e">
        <f t="shared" si="1000"/>
        <v>#DIV/0!</v>
      </c>
      <c r="H1727" s="248">
        <f>'Appendix J-2'!AV101</f>
        <v>0</v>
      </c>
      <c r="I1727" s="688"/>
      <c r="J1727" s="205"/>
    </row>
    <row r="1728" spans="1:12" x14ac:dyDescent="0.25">
      <c r="A1728" s="21">
        <f>A$14</f>
        <v>1752</v>
      </c>
      <c r="B1728" s="149">
        <f t="shared" si="1001"/>
        <v>7.4755606670500289E-3</v>
      </c>
      <c r="C1728" s="20">
        <f t="shared" si="1002"/>
        <v>10</v>
      </c>
      <c r="D1728" s="21">
        <f>ROUND((TREND($D$1719:$D$1727,$A$1719:$A$1727,A1728)),0)</f>
        <v>0</v>
      </c>
      <c r="E1728" s="22">
        <f>IF(TREND($E$1719:$E$1727,$A$1719:$A$1727,A1728)&lt;400,TREND($E$1719:$E$1727,$A$1719:$A$1727,A1728),400)</f>
        <v>0</v>
      </c>
      <c r="F1728" s="21">
        <f t="shared" ref="F1728" si="1003">D1728*E1728</f>
        <v>0</v>
      </c>
      <c r="G1728" s="24">
        <f>'DDS Rates for Amend'!CT17</f>
        <v>11.37</v>
      </c>
      <c r="H1728" s="33">
        <f t="shared" ref="H1728" si="1004">F1728*G1728</f>
        <v>0</v>
      </c>
      <c r="I1728" s="688"/>
      <c r="J1728" s="205"/>
    </row>
    <row r="1729" spans="1:11" x14ac:dyDescent="0.25">
      <c r="A1729" s="21">
        <f>A$15</f>
        <v>1822</v>
      </c>
      <c r="B1729" s="149">
        <f t="shared" si="1001"/>
        <v>3.9954337899543377E-2</v>
      </c>
      <c r="C1729" s="20">
        <f t="shared" si="1002"/>
        <v>11</v>
      </c>
      <c r="D1729" s="21">
        <v>50</v>
      </c>
      <c r="E1729" s="22">
        <f>E365</f>
        <v>154.40240064490223</v>
      </c>
      <c r="F1729" s="21">
        <f t="shared" ref="F1729:F1733" si="1005">D1729*E1729</f>
        <v>7720.1200322451114</v>
      </c>
      <c r="G1729" s="24">
        <f>'DDS Rates for Amend'!CT18</f>
        <v>11.665619999999999</v>
      </c>
      <c r="H1729" s="33">
        <f t="shared" ref="H1729:H1733" si="1006">F1729*G1729</f>
        <v>90059.986650559207</v>
      </c>
      <c r="I1729" s="688"/>
      <c r="J1729" s="205"/>
    </row>
    <row r="1730" spans="1:11" x14ac:dyDescent="0.25">
      <c r="A1730" s="21">
        <f>A$16</f>
        <v>1872</v>
      </c>
      <c r="B1730" s="149">
        <f t="shared" si="1001"/>
        <v>2.7442371020856202E-2</v>
      </c>
      <c r="C1730" s="20">
        <f t="shared" si="1002"/>
        <v>12</v>
      </c>
      <c r="D1730" s="21">
        <v>100</v>
      </c>
      <c r="E1730" s="22">
        <f t="shared" ref="E1730:E1733" si="1007">E366</f>
        <v>163.24350819933647</v>
      </c>
      <c r="F1730" s="21">
        <f t="shared" si="1005"/>
        <v>16324.350819933647</v>
      </c>
      <c r="G1730" s="24">
        <f>'DDS Rates for Amend'!CT19</f>
        <v>11.968926119999999</v>
      </c>
      <c r="H1730" s="33">
        <f t="shared" si="1006"/>
        <v>195384.94892074724</v>
      </c>
      <c r="I1730" s="688"/>
      <c r="J1730" s="205"/>
    </row>
    <row r="1731" spans="1:11" x14ac:dyDescent="0.25">
      <c r="A1731" s="21">
        <f>A$17</f>
        <v>1902</v>
      </c>
      <c r="B1731" s="149">
        <f t="shared" si="1001"/>
        <v>1.6025641025641024E-2</v>
      </c>
      <c r="C1731" s="20">
        <f t="shared" si="1002"/>
        <v>13</v>
      </c>
      <c r="D1731" s="21">
        <v>150</v>
      </c>
      <c r="E1731" s="22">
        <f t="shared" si="1007"/>
        <v>172.08461575377075</v>
      </c>
      <c r="F1731" s="21">
        <f t="shared" si="1005"/>
        <v>25812.692363065613</v>
      </c>
      <c r="G1731" s="24">
        <f>'DDS Rates for Amend'!CT20</f>
        <v>12.280118199119999</v>
      </c>
      <c r="H1731" s="33">
        <f t="shared" si="1006"/>
        <v>316982.91325596784</v>
      </c>
      <c r="I1731" s="688"/>
      <c r="J1731" s="205"/>
    </row>
    <row r="1732" spans="1:11" x14ac:dyDescent="0.25">
      <c r="A1732" s="21">
        <f>A$18</f>
        <v>1932</v>
      </c>
      <c r="B1732" s="149">
        <f t="shared" si="1001"/>
        <v>1.5772870662460567E-2</v>
      </c>
      <c r="C1732" s="20">
        <f t="shared" si="1002"/>
        <v>14</v>
      </c>
      <c r="D1732" s="21">
        <v>200</v>
      </c>
      <c r="E1732" s="22">
        <f t="shared" si="1007"/>
        <v>180.92572330820499</v>
      </c>
      <c r="F1732" s="21">
        <f t="shared" si="1005"/>
        <v>36185.144661640996</v>
      </c>
      <c r="G1732" s="24">
        <f>'DDS Rates for Amend'!CT21</f>
        <v>12.599401272297118</v>
      </c>
      <c r="H1732" s="33">
        <f t="shared" si="1006"/>
        <v>455911.15768813487</v>
      </c>
      <c r="I1732" s="688"/>
      <c r="J1732" s="205"/>
    </row>
    <row r="1733" spans="1:11" x14ac:dyDescent="0.25">
      <c r="A1733" s="21">
        <f>A$19</f>
        <v>1962</v>
      </c>
      <c r="B1733" s="149">
        <f t="shared" si="1001"/>
        <v>1.5527950310559006E-2</v>
      </c>
      <c r="C1733" s="20">
        <f t="shared" si="1002"/>
        <v>15</v>
      </c>
      <c r="D1733" s="21">
        <v>250</v>
      </c>
      <c r="E1733" s="22">
        <f t="shared" si="1007"/>
        <v>189.76683086263927</v>
      </c>
      <c r="F1733" s="21">
        <f t="shared" si="1005"/>
        <v>47441.707715659817</v>
      </c>
      <c r="G1733" s="24">
        <f>'DDS Rates for Amend'!CT22</f>
        <v>12.926985705376843</v>
      </c>
      <c r="H1733" s="33">
        <f t="shared" si="1006"/>
        <v>613278.27747900074</v>
      </c>
      <c r="I1733" s="689"/>
      <c r="J1733" s="205"/>
      <c r="K1733" s="285">
        <f>SUM(H1719:H1733)</f>
        <v>1671617.2839944097</v>
      </c>
    </row>
    <row r="1735" spans="1:11" x14ac:dyDescent="0.25">
      <c r="A1735" s="293" t="s">
        <v>3</v>
      </c>
      <c r="B1735" s="294"/>
      <c r="C1735" s="294"/>
      <c r="D1735" s="289" t="str">
        <f>'Appendix J-2'!B41</f>
        <v>Assistance</v>
      </c>
      <c r="E1735" s="445" t="str">
        <f>'Appendix J-2'!C41</f>
        <v>15 minutes</v>
      </c>
      <c r="F1735" s="690"/>
      <c r="G1735" s="690"/>
      <c r="H1735" s="690"/>
      <c r="I1735" s="687" t="s">
        <v>1131</v>
      </c>
      <c r="J1735" s="205"/>
    </row>
    <row r="1736" spans="1:11" x14ac:dyDescent="0.25">
      <c r="A1736" s="147" t="s">
        <v>26</v>
      </c>
      <c r="B1736" s="147" t="s">
        <v>27</v>
      </c>
      <c r="C1736" s="51" t="s">
        <v>166</v>
      </c>
      <c r="D1736" s="91" t="s">
        <v>154</v>
      </c>
      <c r="E1736" s="89" t="s">
        <v>155</v>
      </c>
      <c r="F1736" s="34" t="s">
        <v>158</v>
      </c>
      <c r="G1736" s="35" t="s">
        <v>156</v>
      </c>
      <c r="H1736" s="51" t="s">
        <v>157</v>
      </c>
      <c r="I1736" s="688"/>
      <c r="J1736" s="205"/>
    </row>
    <row r="1737" spans="1:11" x14ac:dyDescent="0.25">
      <c r="A1737" s="21">
        <f>A$5</f>
        <v>1182</v>
      </c>
      <c r="B1737" s="148"/>
      <c r="C1737" s="144">
        <v>1</v>
      </c>
      <c r="D1737" s="210">
        <f>'linked - DO NOT USE or DELETE'!D589</f>
        <v>0</v>
      </c>
      <c r="E1737" s="22">
        <f t="shared" ref="E1737:E1745" si="1008">IF(F1737=0,0,F1737/D1737)</f>
        <v>0</v>
      </c>
      <c r="F1737" s="210">
        <f>'linked - DO NOT USE or DELETE'!F589</f>
        <v>0</v>
      </c>
      <c r="G1737" s="25" t="e">
        <f t="shared" ref="G1737:G1745" si="1009">H1737/F1737</f>
        <v>#DIV/0!</v>
      </c>
      <c r="H1737" s="211">
        <f>'linked - DO NOT USE or DELETE'!H589</f>
        <v>0</v>
      </c>
      <c r="I1737" s="688"/>
      <c r="J1737" s="205"/>
    </row>
    <row r="1738" spans="1:11" x14ac:dyDescent="0.25">
      <c r="A1738" s="21">
        <f>A$6</f>
        <v>1288</v>
      </c>
      <c r="B1738" s="149">
        <f>(A1738-A1737)/A1737</f>
        <v>8.9678510998307953E-2</v>
      </c>
      <c r="C1738" s="52">
        <v>2</v>
      </c>
      <c r="D1738" s="210">
        <f>'linked - DO NOT USE or DELETE'!I589</f>
        <v>0</v>
      </c>
      <c r="E1738" s="22">
        <f t="shared" si="1008"/>
        <v>0</v>
      </c>
      <c r="F1738" s="210">
        <f>'linked - DO NOT USE or DELETE'!K589</f>
        <v>0</v>
      </c>
      <c r="G1738" s="25" t="e">
        <f t="shared" si="1009"/>
        <v>#DIV/0!</v>
      </c>
      <c r="H1738" s="211">
        <f>'linked - DO NOT USE or DELETE'!M589</f>
        <v>0</v>
      </c>
      <c r="I1738" s="688"/>
      <c r="J1738" s="205"/>
    </row>
    <row r="1739" spans="1:11" x14ac:dyDescent="0.25">
      <c r="A1739" s="21">
        <f>A$7</f>
        <v>1495</v>
      </c>
      <c r="B1739" s="149">
        <f t="shared" ref="B1739:B1751" si="1010">(A1739-A1738)/A1738</f>
        <v>0.16071428571428573</v>
      </c>
      <c r="C1739" s="52">
        <v>3</v>
      </c>
      <c r="D1739" s="210">
        <f>'linked - DO NOT USE or DELETE'!N589</f>
        <v>0</v>
      </c>
      <c r="E1739" s="22">
        <f t="shared" si="1008"/>
        <v>0</v>
      </c>
      <c r="F1739" s="210">
        <f>'linked - DO NOT USE or DELETE'!P589</f>
        <v>0</v>
      </c>
      <c r="G1739" s="25" t="e">
        <f t="shared" si="1009"/>
        <v>#DIV/0!</v>
      </c>
      <c r="H1739" s="33">
        <f>'linked - DO NOT USE or DELETE'!R589</f>
        <v>0</v>
      </c>
      <c r="I1739" s="688"/>
      <c r="J1739" s="205"/>
    </row>
    <row r="1740" spans="1:11" x14ac:dyDescent="0.25">
      <c r="A1740" s="21">
        <f>A$8</f>
        <v>1484</v>
      </c>
      <c r="B1740" s="149">
        <f t="shared" si="1010"/>
        <v>-7.3578595317725752E-3</v>
      </c>
      <c r="C1740" s="52">
        <f t="shared" ref="C1740:C1751" si="1011">C1739+1</f>
        <v>4</v>
      </c>
      <c r="D1740" s="247">
        <f>'Appendix J-2'!S41</f>
        <v>0</v>
      </c>
      <c r="E1740" s="22">
        <f t="shared" si="1008"/>
        <v>0</v>
      </c>
      <c r="F1740" s="247">
        <f>'Appendix J-2'!U41</f>
        <v>0</v>
      </c>
      <c r="G1740" s="25" t="e">
        <f t="shared" si="1009"/>
        <v>#DIV/0!</v>
      </c>
      <c r="H1740" s="248">
        <f>'Appendix J-2'!W41</f>
        <v>0</v>
      </c>
      <c r="I1740" s="688"/>
      <c r="J1740" s="205"/>
    </row>
    <row r="1741" spans="1:11" x14ac:dyDescent="0.25">
      <c r="A1741" s="21">
        <f>A$9</f>
        <v>1528</v>
      </c>
      <c r="B1741" s="149">
        <f t="shared" si="1010"/>
        <v>2.9649595687331536E-2</v>
      </c>
      <c r="C1741" s="52">
        <f t="shared" si="1011"/>
        <v>5</v>
      </c>
      <c r="D1741" s="249">
        <f>'Appendix J-2'!X41</f>
        <v>0</v>
      </c>
      <c r="E1741" s="22">
        <f t="shared" si="1008"/>
        <v>0</v>
      </c>
      <c r="F1741" s="249">
        <f>'Appendix J-2'!Z41</f>
        <v>0</v>
      </c>
      <c r="G1741" s="25" t="e">
        <f t="shared" si="1009"/>
        <v>#DIV/0!</v>
      </c>
      <c r="H1741" s="248">
        <f>'Appendix J-2'!AB41</f>
        <v>0</v>
      </c>
      <c r="I1741" s="688"/>
      <c r="J1741" s="205"/>
    </row>
    <row r="1742" spans="1:11" x14ac:dyDescent="0.25">
      <c r="A1742" s="21">
        <f>A$10</f>
        <v>1592</v>
      </c>
      <c r="B1742" s="149">
        <f t="shared" si="1010"/>
        <v>4.1884816753926704E-2</v>
      </c>
      <c r="C1742" s="52">
        <f t="shared" si="1011"/>
        <v>6</v>
      </c>
      <c r="D1742" s="249">
        <f>'Appendix J-2'!AC41</f>
        <v>0</v>
      </c>
      <c r="E1742" s="22">
        <f t="shared" si="1008"/>
        <v>0</v>
      </c>
      <c r="F1742" s="249">
        <f>'Appendix J-2'!AE41</f>
        <v>0</v>
      </c>
      <c r="G1742" s="25" t="e">
        <f t="shared" si="1009"/>
        <v>#DIV/0!</v>
      </c>
      <c r="H1742" s="248">
        <f>'Appendix J-2'!AG41</f>
        <v>0</v>
      </c>
      <c r="I1742" s="688"/>
      <c r="J1742" s="205"/>
    </row>
    <row r="1743" spans="1:11" x14ac:dyDescent="0.25">
      <c r="A1743" s="21">
        <f>A$11</f>
        <v>1642</v>
      </c>
      <c r="B1743" s="149">
        <f t="shared" si="1010"/>
        <v>3.1407035175879394E-2</v>
      </c>
      <c r="C1743" s="20">
        <f t="shared" si="1011"/>
        <v>7</v>
      </c>
      <c r="D1743" s="249">
        <f>'Appendix J-2'!AH41</f>
        <v>0</v>
      </c>
      <c r="E1743" s="22">
        <f t="shared" si="1008"/>
        <v>0</v>
      </c>
      <c r="F1743" s="249">
        <f>'Appendix J-2'!AJ41</f>
        <v>0</v>
      </c>
      <c r="G1743" s="25" t="e">
        <f t="shared" si="1009"/>
        <v>#DIV/0!</v>
      </c>
      <c r="H1743" s="248">
        <f>'Appendix J-2'!AL41</f>
        <v>0</v>
      </c>
      <c r="I1743" s="688"/>
      <c r="J1743" s="205"/>
    </row>
    <row r="1744" spans="1:11" x14ac:dyDescent="0.25">
      <c r="A1744" s="21">
        <f>A$12</f>
        <v>1675</v>
      </c>
      <c r="B1744" s="149">
        <f t="shared" si="1010"/>
        <v>2.0097442143727162E-2</v>
      </c>
      <c r="C1744" s="20">
        <f t="shared" si="1011"/>
        <v>8</v>
      </c>
      <c r="D1744" s="249">
        <f>'Appendix J-2'!AM41</f>
        <v>0</v>
      </c>
      <c r="E1744" s="22">
        <f t="shared" si="1008"/>
        <v>0</v>
      </c>
      <c r="F1744" s="249">
        <f>'Appendix J-2'!AO41</f>
        <v>0</v>
      </c>
      <c r="G1744" s="25" t="e">
        <f t="shared" si="1009"/>
        <v>#DIV/0!</v>
      </c>
      <c r="H1744" s="248">
        <f>'Appendix J-2'!AQ41</f>
        <v>0</v>
      </c>
      <c r="I1744" s="688"/>
      <c r="J1744" s="205"/>
    </row>
    <row r="1745" spans="1:17" x14ac:dyDescent="0.25">
      <c r="A1745" s="21">
        <f>A$13</f>
        <v>1739</v>
      </c>
      <c r="B1745" s="149">
        <f t="shared" si="1010"/>
        <v>3.8208955223880597E-2</v>
      </c>
      <c r="C1745" s="20">
        <f t="shared" si="1011"/>
        <v>9</v>
      </c>
      <c r="D1745" s="249">
        <f>'Appendix J-2'!AR41</f>
        <v>0</v>
      </c>
      <c r="E1745" s="22">
        <f t="shared" si="1008"/>
        <v>0</v>
      </c>
      <c r="F1745" s="249">
        <f>'Appendix J-2'!AT41</f>
        <v>0</v>
      </c>
      <c r="G1745" s="25" t="e">
        <f t="shared" si="1009"/>
        <v>#DIV/0!</v>
      </c>
      <c r="H1745" s="248">
        <f>'Appendix J-2'!AV41</f>
        <v>0</v>
      </c>
      <c r="I1745" s="688"/>
      <c r="J1745" s="205"/>
    </row>
    <row r="1746" spans="1:17" x14ac:dyDescent="0.25">
      <c r="A1746" s="21">
        <f>A$14</f>
        <v>1752</v>
      </c>
      <c r="B1746" s="149">
        <f t="shared" si="1010"/>
        <v>7.4755606670500289E-3</v>
      </c>
      <c r="C1746" s="20">
        <f t="shared" si="1011"/>
        <v>10</v>
      </c>
      <c r="D1746" s="21">
        <f>ROUND((TREND($D$1737:$D$1745,$A$1737:$A$1745,A1746)),0)</f>
        <v>0</v>
      </c>
      <c r="E1746" s="22">
        <f>TREND($E$1737:$E$1745,$A$1737:$A$1745,A1746)</f>
        <v>0</v>
      </c>
      <c r="F1746" s="21">
        <f t="shared" ref="F1746" si="1012">D1746*E1746</f>
        <v>0</v>
      </c>
      <c r="G1746" s="24">
        <f>'DDS Rates for Amend'!CU17</f>
        <v>8.2799999999999994</v>
      </c>
      <c r="H1746" s="33">
        <f t="shared" ref="H1746" si="1013">F1746*G1746</f>
        <v>0</v>
      </c>
      <c r="I1746" s="688"/>
      <c r="J1746" s="205"/>
      <c r="N1746" s="407"/>
      <c r="O1746" s="407" t="s">
        <v>538</v>
      </c>
      <c r="P1746" s="407" t="s">
        <v>540</v>
      </c>
      <c r="Q1746" s="407" t="s">
        <v>539</v>
      </c>
    </row>
    <row r="1747" spans="1:17" x14ac:dyDescent="0.25">
      <c r="A1747" s="21">
        <f>A$15</f>
        <v>1822</v>
      </c>
      <c r="B1747" s="149">
        <f t="shared" si="1010"/>
        <v>3.9954337899543377E-2</v>
      </c>
      <c r="C1747" s="20">
        <f t="shared" si="1011"/>
        <v>11</v>
      </c>
      <c r="D1747" s="21">
        <f>O1747</f>
        <v>10</v>
      </c>
      <c r="E1747" s="22">
        <f>IF(Q1747&lt;416,Q1747,416)</f>
        <v>13</v>
      </c>
      <c r="F1747" s="21">
        <f t="shared" ref="F1747:F1751" si="1014">D1747*E1747</f>
        <v>130</v>
      </c>
      <c r="G1747" s="24">
        <f>'DDS Rates for Amend'!CU18</f>
        <v>8.4952799999999993</v>
      </c>
      <c r="H1747" s="33">
        <f t="shared" ref="H1747:H1751" si="1015">F1747*G1747</f>
        <v>1104.3863999999999</v>
      </c>
      <c r="I1747" s="688"/>
      <c r="J1747" s="205"/>
      <c r="N1747" s="407" t="s">
        <v>511</v>
      </c>
      <c r="O1747" s="407">
        <v>10</v>
      </c>
      <c r="P1747" s="407">
        <f>((10/2)*20)+((10/2)*6)</f>
        <v>130</v>
      </c>
      <c r="Q1747" s="176">
        <f>P1747/O1747</f>
        <v>13</v>
      </c>
    </row>
    <row r="1748" spans="1:17" x14ac:dyDescent="0.25">
      <c r="A1748" s="21">
        <f>A$16</f>
        <v>1872</v>
      </c>
      <c r="B1748" s="149">
        <f t="shared" si="1010"/>
        <v>2.7442371020856202E-2</v>
      </c>
      <c r="C1748" s="20">
        <f t="shared" si="1011"/>
        <v>12</v>
      </c>
      <c r="D1748" s="21">
        <f t="shared" ref="D1748:D1751" si="1016">O1748</f>
        <v>15</v>
      </c>
      <c r="E1748" s="22">
        <f t="shared" ref="E1748:E1751" si="1017">IF(Q1748&lt;416,Q1748,416)</f>
        <v>13</v>
      </c>
      <c r="F1748" s="21">
        <f t="shared" si="1014"/>
        <v>195</v>
      </c>
      <c r="G1748" s="24">
        <f>'DDS Rates for Amend'!CU19</f>
        <v>8.7161572799999991</v>
      </c>
      <c r="H1748" s="33">
        <f t="shared" si="1015"/>
        <v>1699.6506695999999</v>
      </c>
      <c r="I1748" s="688"/>
      <c r="J1748" s="205"/>
      <c r="N1748" s="407" t="s">
        <v>512</v>
      </c>
      <c r="O1748" s="407">
        <v>15</v>
      </c>
      <c r="P1748" s="407">
        <f>((15/2)*20)+((15/2)*6)</f>
        <v>195</v>
      </c>
      <c r="Q1748" s="176">
        <f t="shared" ref="Q1748:Q1751" si="1018">P1748/O1748</f>
        <v>13</v>
      </c>
    </row>
    <row r="1749" spans="1:17" x14ac:dyDescent="0.25">
      <c r="A1749" s="21">
        <f>A$17</f>
        <v>1902</v>
      </c>
      <c r="B1749" s="149">
        <f t="shared" si="1010"/>
        <v>1.6025641025641024E-2</v>
      </c>
      <c r="C1749" s="20">
        <f t="shared" si="1011"/>
        <v>13</v>
      </c>
      <c r="D1749" s="21">
        <f t="shared" si="1016"/>
        <v>25</v>
      </c>
      <c r="E1749" s="22">
        <f t="shared" si="1017"/>
        <v>13</v>
      </c>
      <c r="F1749" s="21">
        <f t="shared" si="1014"/>
        <v>325</v>
      </c>
      <c r="G1749" s="24">
        <f>'DDS Rates for Amend'!CU20</f>
        <v>8.9427773692799999</v>
      </c>
      <c r="H1749" s="33">
        <f t="shared" si="1015"/>
        <v>2906.402645016</v>
      </c>
      <c r="I1749" s="688"/>
      <c r="J1749" s="205"/>
      <c r="N1749" s="407" t="s">
        <v>513</v>
      </c>
      <c r="O1749" s="407">
        <v>25</v>
      </c>
      <c r="P1749" s="407">
        <f>((25/2)*20)+((25/2)*6)</f>
        <v>325</v>
      </c>
      <c r="Q1749" s="176">
        <f t="shared" si="1018"/>
        <v>13</v>
      </c>
    </row>
    <row r="1750" spans="1:17" x14ac:dyDescent="0.25">
      <c r="A1750" s="21">
        <f>A$18</f>
        <v>1932</v>
      </c>
      <c r="B1750" s="149">
        <f t="shared" si="1010"/>
        <v>1.5772870662460567E-2</v>
      </c>
      <c r="C1750" s="20">
        <f t="shared" si="1011"/>
        <v>14</v>
      </c>
      <c r="D1750" s="21">
        <f t="shared" si="1016"/>
        <v>50</v>
      </c>
      <c r="E1750" s="22">
        <f t="shared" si="1017"/>
        <v>13</v>
      </c>
      <c r="F1750" s="21">
        <f t="shared" si="1014"/>
        <v>650</v>
      </c>
      <c r="G1750" s="24">
        <f>'DDS Rates for Amend'!CU21</f>
        <v>9.1752895808812802</v>
      </c>
      <c r="H1750" s="33">
        <f t="shared" si="1015"/>
        <v>5963.9382275728321</v>
      </c>
      <c r="I1750" s="688"/>
      <c r="J1750" s="205"/>
      <c r="N1750" s="407" t="s">
        <v>514</v>
      </c>
      <c r="O1750" s="407">
        <v>50</v>
      </c>
      <c r="P1750" s="407">
        <f>((50/2)*20)+((50/2)*6)</f>
        <v>650</v>
      </c>
      <c r="Q1750" s="176">
        <f t="shared" si="1018"/>
        <v>13</v>
      </c>
    </row>
    <row r="1751" spans="1:17" x14ac:dyDescent="0.25">
      <c r="A1751" s="21">
        <f>A$19</f>
        <v>1962</v>
      </c>
      <c r="B1751" s="149">
        <f t="shared" si="1010"/>
        <v>1.5527950310559006E-2</v>
      </c>
      <c r="C1751" s="20">
        <f t="shared" si="1011"/>
        <v>15</v>
      </c>
      <c r="D1751" s="21">
        <f t="shared" si="1016"/>
        <v>100</v>
      </c>
      <c r="E1751" s="22">
        <f t="shared" si="1017"/>
        <v>13</v>
      </c>
      <c r="F1751" s="21">
        <f t="shared" si="1014"/>
        <v>1300</v>
      </c>
      <c r="G1751" s="24">
        <f>'DDS Rates for Amend'!CU22</f>
        <v>9.4138471099841929</v>
      </c>
      <c r="H1751" s="33">
        <f t="shared" si="1015"/>
        <v>12238.001242979451</v>
      </c>
      <c r="I1751" s="689"/>
      <c r="J1751" s="205"/>
      <c r="K1751" s="285">
        <f>SUM(H1737:H1751)</f>
        <v>23912.379185168284</v>
      </c>
      <c r="N1751" s="407" t="s">
        <v>515</v>
      </c>
      <c r="O1751" s="407">
        <v>100</v>
      </c>
      <c r="P1751" s="407">
        <f>((100/2)*20)+((100/2)*6)</f>
        <v>1300</v>
      </c>
      <c r="Q1751" s="176">
        <f t="shared" si="1018"/>
        <v>13</v>
      </c>
    </row>
    <row r="1753" spans="1:17" x14ac:dyDescent="0.25">
      <c r="A1753" s="293" t="s">
        <v>1</v>
      </c>
      <c r="B1753" s="294"/>
      <c r="C1753" s="294"/>
      <c r="D1753" s="289"/>
      <c r="E1753" s="290" t="str">
        <f>'Appendix J-2'!C102</f>
        <v>15 minutes</v>
      </c>
      <c r="F1753" s="690"/>
      <c r="G1753" s="690"/>
      <c r="H1753" s="690"/>
      <c r="I1753" s="687" t="s">
        <v>1130</v>
      </c>
      <c r="J1753" s="205"/>
    </row>
    <row r="1754" spans="1:17" x14ac:dyDescent="0.25">
      <c r="A1754" s="147" t="s">
        <v>26</v>
      </c>
      <c r="B1754" s="147" t="s">
        <v>27</v>
      </c>
      <c r="C1754" s="51" t="s">
        <v>166</v>
      </c>
      <c r="D1754" s="91" t="s">
        <v>154</v>
      </c>
      <c r="E1754" s="89" t="s">
        <v>155</v>
      </c>
      <c r="F1754" s="34" t="s">
        <v>158</v>
      </c>
      <c r="G1754" s="35" t="s">
        <v>156</v>
      </c>
      <c r="H1754" s="51" t="s">
        <v>157</v>
      </c>
      <c r="I1754" s="688"/>
      <c r="J1754" s="205"/>
    </row>
    <row r="1755" spans="1:17" x14ac:dyDescent="0.25">
      <c r="A1755" s="21">
        <f>A$5</f>
        <v>1182</v>
      </c>
      <c r="B1755" s="148"/>
      <c r="C1755" s="144">
        <v>1</v>
      </c>
      <c r="D1755" s="210">
        <f>'linked - DO NOT USE or DELETE'!D602</f>
        <v>0</v>
      </c>
      <c r="E1755" s="22">
        <f t="shared" ref="E1755:E1763" si="1019">IF(F1755=0,0,F1755/D1755)</f>
        <v>0</v>
      </c>
      <c r="F1755" s="210">
        <f>'linked - DO NOT USE or DELETE'!F602</f>
        <v>0</v>
      </c>
      <c r="G1755" s="25" t="e">
        <f t="shared" ref="G1755:G1763" si="1020">H1755/F1755</f>
        <v>#DIV/0!</v>
      </c>
      <c r="H1755" s="211">
        <f>'linked - DO NOT USE or DELETE'!H602</f>
        <v>0</v>
      </c>
      <c r="I1755" s="688"/>
      <c r="J1755" s="205"/>
    </row>
    <row r="1756" spans="1:17" x14ac:dyDescent="0.25">
      <c r="A1756" s="21">
        <f>A$6</f>
        <v>1288</v>
      </c>
      <c r="B1756" s="149">
        <f>(A1756-A1755)/A1755</f>
        <v>8.9678510998307953E-2</v>
      </c>
      <c r="C1756" s="52">
        <v>2</v>
      </c>
      <c r="D1756" s="210">
        <f>'linked - DO NOT USE or DELETE'!I602</f>
        <v>0</v>
      </c>
      <c r="E1756" s="22">
        <f t="shared" si="1019"/>
        <v>0</v>
      </c>
      <c r="F1756" s="210">
        <f>'linked - DO NOT USE or DELETE'!K602</f>
        <v>0</v>
      </c>
      <c r="G1756" s="25" t="e">
        <f t="shared" si="1020"/>
        <v>#DIV/0!</v>
      </c>
      <c r="H1756" s="211">
        <f>'linked - DO NOT USE or DELETE'!M602</f>
        <v>0</v>
      </c>
      <c r="I1756" s="688"/>
      <c r="J1756" s="205"/>
    </row>
    <row r="1757" spans="1:17" x14ac:dyDescent="0.25">
      <c r="A1757" s="21">
        <f>A$7</f>
        <v>1495</v>
      </c>
      <c r="B1757" s="149">
        <f t="shared" ref="B1757:B1769" si="1021">(A1757-A1756)/A1756</f>
        <v>0.16071428571428573</v>
      </c>
      <c r="C1757" s="52">
        <v>3</v>
      </c>
      <c r="D1757" s="210">
        <f>'linked - DO NOT USE or DELETE'!N602</f>
        <v>0</v>
      </c>
      <c r="E1757" s="22">
        <f t="shared" si="1019"/>
        <v>0</v>
      </c>
      <c r="F1757" s="210">
        <f>'linked - DO NOT USE or DELETE'!P602</f>
        <v>0</v>
      </c>
      <c r="G1757" s="25" t="e">
        <f t="shared" si="1020"/>
        <v>#DIV/0!</v>
      </c>
      <c r="H1757" s="33">
        <f>'linked - DO NOT USE or DELETE'!R602</f>
        <v>0</v>
      </c>
      <c r="I1757" s="688"/>
      <c r="J1757" s="205"/>
    </row>
    <row r="1758" spans="1:17" x14ac:dyDescent="0.25">
      <c r="A1758" s="21">
        <f>A$8</f>
        <v>1484</v>
      </c>
      <c r="B1758" s="149">
        <f t="shared" si="1021"/>
        <v>-7.3578595317725752E-3</v>
      </c>
      <c r="C1758" s="52">
        <f t="shared" ref="C1758:C1769" si="1022">C1757+1</f>
        <v>4</v>
      </c>
      <c r="D1758" s="247">
        <f>'Appendix J-2'!S102</f>
        <v>0</v>
      </c>
      <c r="E1758" s="22">
        <f t="shared" si="1019"/>
        <v>0</v>
      </c>
      <c r="F1758" s="247">
        <f>'Appendix J-2'!U102</f>
        <v>0</v>
      </c>
      <c r="G1758" s="25" t="e">
        <f t="shared" si="1020"/>
        <v>#DIV/0!</v>
      </c>
      <c r="H1758" s="248">
        <f>'Appendix J-2'!W102</f>
        <v>0</v>
      </c>
      <c r="I1758" s="688"/>
      <c r="J1758" s="205"/>
    </row>
    <row r="1759" spans="1:17" x14ac:dyDescent="0.25">
      <c r="A1759" s="21">
        <f>A$9</f>
        <v>1528</v>
      </c>
      <c r="B1759" s="149">
        <f t="shared" si="1021"/>
        <v>2.9649595687331536E-2</v>
      </c>
      <c r="C1759" s="52">
        <f t="shared" si="1022"/>
        <v>5</v>
      </c>
      <c r="D1759" s="249">
        <f>'Appendix J-2'!X102</f>
        <v>0</v>
      </c>
      <c r="E1759" s="22">
        <f t="shared" si="1019"/>
        <v>0</v>
      </c>
      <c r="F1759" s="249">
        <f>'Appendix J-2'!Z102</f>
        <v>0</v>
      </c>
      <c r="G1759" s="25" t="e">
        <f t="shared" si="1020"/>
        <v>#DIV/0!</v>
      </c>
      <c r="H1759" s="248">
        <f>'Appendix J-2'!AB102</f>
        <v>0</v>
      </c>
      <c r="I1759" s="688"/>
      <c r="J1759" s="205"/>
    </row>
    <row r="1760" spans="1:17" x14ac:dyDescent="0.25">
      <c r="A1760" s="21">
        <f>A$10</f>
        <v>1592</v>
      </c>
      <c r="B1760" s="149">
        <f t="shared" si="1021"/>
        <v>4.1884816753926704E-2</v>
      </c>
      <c r="C1760" s="20">
        <f t="shared" si="1022"/>
        <v>6</v>
      </c>
      <c r="D1760" s="249">
        <f>'Appendix J-2'!AC102</f>
        <v>0</v>
      </c>
      <c r="E1760" s="22">
        <f t="shared" si="1019"/>
        <v>0</v>
      </c>
      <c r="F1760" s="249">
        <f>'Appendix J-2'!AE102</f>
        <v>0</v>
      </c>
      <c r="G1760" s="25" t="e">
        <f t="shared" si="1020"/>
        <v>#DIV/0!</v>
      </c>
      <c r="H1760" s="248">
        <f>'Appendix J-2'!AG102</f>
        <v>0</v>
      </c>
      <c r="I1760" s="688"/>
      <c r="J1760" s="205"/>
    </row>
    <row r="1761" spans="1:17" x14ac:dyDescent="0.25">
      <c r="A1761" s="21">
        <f>A$11</f>
        <v>1642</v>
      </c>
      <c r="B1761" s="149">
        <f t="shared" si="1021"/>
        <v>3.1407035175879394E-2</v>
      </c>
      <c r="C1761" s="20">
        <f t="shared" si="1022"/>
        <v>7</v>
      </c>
      <c r="D1761" s="249">
        <f>'Appendix J-2'!AH102</f>
        <v>0</v>
      </c>
      <c r="E1761" s="22">
        <f t="shared" si="1019"/>
        <v>0</v>
      </c>
      <c r="F1761" s="249">
        <f>'Appendix J-2'!AJ102</f>
        <v>0</v>
      </c>
      <c r="G1761" s="25" t="e">
        <f t="shared" si="1020"/>
        <v>#DIV/0!</v>
      </c>
      <c r="H1761" s="248">
        <f>'Appendix J-2'!AL102</f>
        <v>0</v>
      </c>
      <c r="I1761" s="688"/>
      <c r="J1761" s="205"/>
    </row>
    <row r="1762" spans="1:17" x14ac:dyDescent="0.25">
      <c r="A1762" s="21">
        <f>A$12</f>
        <v>1675</v>
      </c>
      <c r="B1762" s="149">
        <f t="shared" si="1021"/>
        <v>2.0097442143727162E-2</v>
      </c>
      <c r="C1762" s="20">
        <f t="shared" si="1022"/>
        <v>8</v>
      </c>
      <c r="D1762" s="249">
        <f>'Appendix J-2'!AM102</f>
        <v>0</v>
      </c>
      <c r="E1762" s="22">
        <f t="shared" si="1019"/>
        <v>0</v>
      </c>
      <c r="F1762" s="249">
        <f>'Appendix J-2'!AO102</f>
        <v>0</v>
      </c>
      <c r="G1762" s="25" t="e">
        <f t="shared" si="1020"/>
        <v>#DIV/0!</v>
      </c>
      <c r="H1762" s="248">
        <f>'Appendix J-2'!AQ102</f>
        <v>0</v>
      </c>
      <c r="I1762" s="688"/>
      <c r="J1762" s="205"/>
    </row>
    <row r="1763" spans="1:17" x14ac:dyDescent="0.25">
      <c r="A1763" s="21">
        <f>A$13</f>
        <v>1739</v>
      </c>
      <c r="B1763" s="149">
        <f t="shared" si="1021"/>
        <v>3.8208955223880597E-2</v>
      </c>
      <c r="C1763" s="20">
        <f t="shared" si="1022"/>
        <v>9</v>
      </c>
      <c r="D1763" s="249">
        <f>'Appendix J-2'!AR102</f>
        <v>0</v>
      </c>
      <c r="E1763" s="22">
        <f t="shared" si="1019"/>
        <v>0</v>
      </c>
      <c r="F1763" s="249">
        <f>'Appendix J-2'!AT102</f>
        <v>0</v>
      </c>
      <c r="G1763" s="25" t="e">
        <f t="shared" si="1020"/>
        <v>#DIV/0!</v>
      </c>
      <c r="H1763" s="248">
        <f>'Appendix J-2'!AV102</f>
        <v>0</v>
      </c>
      <c r="I1763" s="688"/>
      <c r="J1763" s="205"/>
    </row>
    <row r="1764" spans="1:17" x14ac:dyDescent="0.25">
      <c r="A1764" s="21">
        <f>A$14</f>
        <v>1752</v>
      </c>
      <c r="B1764" s="149">
        <f t="shared" si="1021"/>
        <v>7.4755606670500289E-3</v>
      </c>
      <c r="C1764" s="20">
        <f t="shared" si="1022"/>
        <v>10</v>
      </c>
      <c r="D1764" s="21">
        <f>ROUND((TREND($D$1755:$D$1763,$A$1755:$A$1763,A1764)),0)</f>
        <v>0</v>
      </c>
      <c r="E1764" s="22">
        <f>TREND($E$1755:$E$1763,$A$1755:$A$1763,A1764)</f>
        <v>0</v>
      </c>
      <c r="F1764" s="21">
        <f t="shared" ref="F1764" si="1023">D1764*E1764</f>
        <v>0</v>
      </c>
      <c r="G1764" s="24">
        <f>'DDS Rates for Amend'!CV17</f>
        <v>4.7699999999999996</v>
      </c>
      <c r="H1764" s="33">
        <f t="shared" ref="H1764" si="1024">F1764*G1764</f>
        <v>0</v>
      </c>
      <c r="I1764" s="688"/>
      <c r="J1764" s="205"/>
      <c r="O1764" s="31" t="s">
        <v>538</v>
      </c>
      <c r="P1764" s="31" t="s">
        <v>540</v>
      </c>
      <c r="Q1764" s="31" t="s">
        <v>539</v>
      </c>
    </row>
    <row r="1765" spans="1:17" x14ac:dyDescent="0.25">
      <c r="A1765" s="21">
        <f>A$15</f>
        <v>1822</v>
      </c>
      <c r="B1765" s="149">
        <f t="shared" si="1021"/>
        <v>3.9954337899543377E-2</v>
      </c>
      <c r="C1765" s="20">
        <f t="shared" si="1022"/>
        <v>11</v>
      </c>
      <c r="D1765" s="21">
        <f>O1765</f>
        <v>350</v>
      </c>
      <c r="E1765" s="22">
        <f>Q1765</f>
        <v>12.285714285714286</v>
      </c>
      <c r="F1765" s="21">
        <f t="shared" ref="F1765:F1769" si="1025">D1765*E1765</f>
        <v>4300</v>
      </c>
      <c r="G1765" s="24">
        <f>'DDS Rates for Amend'!CV18</f>
        <v>5.18</v>
      </c>
      <c r="H1765" s="33">
        <f t="shared" ref="H1765:H1769" si="1026">F1765*G1765</f>
        <v>22274</v>
      </c>
      <c r="I1765" s="688"/>
      <c r="J1765" s="205"/>
      <c r="N1765" s="31" t="s">
        <v>511</v>
      </c>
      <c r="O1765" s="31">
        <f>80+70+200</f>
        <v>350</v>
      </c>
      <c r="P1765" s="31">
        <f>(80*30)+(70*10)+(200*6)</f>
        <v>4300</v>
      </c>
      <c r="Q1765" s="176">
        <f>P1765/O1765</f>
        <v>12.285714285714286</v>
      </c>
    </row>
    <row r="1766" spans="1:17" x14ac:dyDescent="0.25">
      <c r="A1766" s="21">
        <f>A$16</f>
        <v>1872</v>
      </c>
      <c r="B1766" s="149">
        <f t="shared" si="1021"/>
        <v>2.7442371020856202E-2</v>
      </c>
      <c r="C1766" s="20">
        <f t="shared" si="1022"/>
        <v>12</v>
      </c>
      <c r="D1766" s="21">
        <f>O1766</f>
        <v>450</v>
      </c>
      <c r="E1766" s="22">
        <f t="shared" ref="E1766:E1769" si="1027">Q1766</f>
        <v>10.888888888888889</v>
      </c>
      <c r="F1766" s="21">
        <f t="shared" si="1025"/>
        <v>4900</v>
      </c>
      <c r="G1766" s="24">
        <f>'DDS Rates for Amend'!CV19</f>
        <v>5.3146800000000001</v>
      </c>
      <c r="H1766" s="33">
        <f t="shared" si="1026"/>
        <v>26041.932000000001</v>
      </c>
      <c r="I1766" s="688"/>
      <c r="J1766" s="205"/>
      <c r="N1766" s="31" t="s">
        <v>512</v>
      </c>
      <c r="O1766" s="31">
        <f>80+70+300</f>
        <v>450</v>
      </c>
      <c r="P1766" s="31">
        <f>(80*30)+(70*10)+(300*6)</f>
        <v>4900</v>
      </c>
      <c r="Q1766" s="176">
        <f t="shared" ref="Q1766:Q1769" si="1028">P1766/O1766</f>
        <v>10.888888888888889</v>
      </c>
    </row>
    <row r="1767" spans="1:17" x14ac:dyDescent="0.25">
      <c r="A1767" s="21">
        <f>A$17</f>
        <v>1902</v>
      </c>
      <c r="B1767" s="149">
        <f t="shared" si="1021"/>
        <v>1.6025641025641024E-2</v>
      </c>
      <c r="C1767" s="20">
        <f t="shared" si="1022"/>
        <v>13</v>
      </c>
      <c r="D1767" s="21">
        <f>O1767</f>
        <v>470</v>
      </c>
      <c r="E1767" s="22">
        <f t="shared" si="1027"/>
        <v>11.702127659574469</v>
      </c>
      <c r="F1767" s="21">
        <f t="shared" si="1025"/>
        <v>5500</v>
      </c>
      <c r="G1767" s="24">
        <f>'DDS Rates for Amend'!CV20</f>
        <v>5.4528616799999998</v>
      </c>
      <c r="H1767" s="33">
        <f t="shared" si="1026"/>
        <v>29990.739239999999</v>
      </c>
      <c r="I1767" s="688"/>
      <c r="J1767" s="205"/>
      <c r="N1767" s="31" t="s">
        <v>513</v>
      </c>
      <c r="O1767" s="31">
        <f>100+70+300</f>
        <v>470</v>
      </c>
      <c r="P1767" s="31">
        <f>(100*30)+(70*10)+(300*6)</f>
        <v>5500</v>
      </c>
      <c r="Q1767" s="176">
        <f t="shared" si="1028"/>
        <v>11.702127659574469</v>
      </c>
    </row>
    <row r="1768" spans="1:17" x14ac:dyDescent="0.25">
      <c r="A1768" s="21">
        <f>A$18</f>
        <v>1932</v>
      </c>
      <c r="B1768" s="149">
        <f t="shared" si="1021"/>
        <v>1.5772870662460567E-2</v>
      </c>
      <c r="C1768" s="20">
        <f t="shared" si="1022"/>
        <v>14</v>
      </c>
      <c r="D1768" s="21">
        <f>O1768</f>
        <v>470</v>
      </c>
      <c r="E1768" s="22">
        <f t="shared" si="1027"/>
        <v>11.702127659574469</v>
      </c>
      <c r="F1768" s="21">
        <f t="shared" si="1025"/>
        <v>5500</v>
      </c>
      <c r="G1768" s="24">
        <f>'DDS Rates for Amend'!CV21</f>
        <v>5.5946360836800002</v>
      </c>
      <c r="H1768" s="33">
        <f t="shared" si="1026"/>
        <v>30770.49846024</v>
      </c>
      <c r="I1768" s="688"/>
      <c r="J1768" s="205"/>
      <c r="N1768" s="31" t="s">
        <v>514</v>
      </c>
      <c r="O1768" s="31">
        <f>100+70+300</f>
        <v>470</v>
      </c>
      <c r="P1768" s="31">
        <f>(100*30)+(70*10)+(300*6)</f>
        <v>5500</v>
      </c>
      <c r="Q1768" s="176">
        <f t="shared" si="1028"/>
        <v>11.702127659574469</v>
      </c>
    </row>
    <row r="1769" spans="1:17" x14ac:dyDescent="0.25">
      <c r="A1769" s="21">
        <f>A$19</f>
        <v>1962</v>
      </c>
      <c r="B1769" s="149">
        <f t="shared" si="1021"/>
        <v>1.5527950310559006E-2</v>
      </c>
      <c r="C1769" s="20">
        <f t="shared" si="1022"/>
        <v>15</v>
      </c>
      <c r="D1769" s="21">
        <f>O1769</f>
        <v>470</v>
      </c>
      <c r="E1769" s="22">
        <f t="shared" si="1027"/>
        <v>11.702127659574469</v>
      </c>
      <c r="F1769" s="21">
        <f t="shared" si="1025"/>
        <v>5500</v>
      </c>
      <c r="G1769" s="24">
        <f>'DDS Rates for Amend'!CV22</f>
        <v>5.7400966218556801</v>
      </c>
      <c r="H1769" s="33">
        <f t="shared" si="1026"/>
        <v>31570.53142020624</v>
      </c>
      <c r="I1769" s="689"/>
      <c r="J1769" s="205"/>
      <c r="K1769" s="285">
        <f>SUM(H1755:H1769)</f>
        <v>140647.70112044623</v>
      </c>
      <c r="N1769" s="31" t="s">
        <v>515</v>
      </c>
      <c r="O1769" s="31">
        <f>100+70+300</f>
        <v>470</v>
      </c>
      <c r="P1769" s="31">
        <f>(100*30)+(70*10)+(300*6)</f>
        <v>5500</v>
      </c>
      <c r="Q1769" s="176">
        <f t="shared" si="1028"/>
        <v>11.702127659574469</v>
      </c>
    </row>
    <row r="1771" spans="1:17" ht="15" customHeight="1" x14ac:dyDescent="0.25">
      <c r="A1771" s="293" t="s">
        <v>2</v>
      </c>
      <c r="B1771" s="294"/>
      <c r="C1771" s="294"/>
      <c r="D1771" s="289"/>
      <c r="E1771" s="290" t="str">
        <f>'Appendix J-2'!C103</f>
        <v>15 minutes</v>
      </c>
      <c r="F1771" s="690"/>
      <c r="G1771" s="690"/>
      <c r="H1771" s="690"/>
      <c r="I1771" s="687" t="s">
        <v>1129</v>
      </c>
      <c r="J1771" s="205"/>
    </row>
    <row r="1772" spans="1:17" x14ac:dyDescent="0.25">
      <c r="A1772" s="147" t="s">
        <v>26</v>
      </c>
      <c r="B1772" s="147" t="s">
        <v>27</v>
      </c>
      <c r="C1772" s="51" t="s">
        <v>166</v>
      </c>
      <c r="D1772" s="91" t="s">
        <v>154</v>
      </c>
      <c r="E1772" s="89" t="s">
        <v>155</v>
      </c>
      <c r="F1772" s="34" t="s">
        <v>158</v>
      </c>
      <c r="G1772" s="35" t="s">
        <v>156</v>
      </c>
      <c r="H1772" s="51" t="s">
        <v>157</v>
      </c>
      <c r="I1772" s="688"/>
      <c r="J1772" s="205"/>
    </row>
    <row r="1773" spans="1:17" x14ac:dyDescent="0.25">
      <c r="A1773" s="21">
        <f>A$5</f>
        <v>1182</v>
      </c>
      <c r="B1773" s="148"/>
      <c r="C1773" s="144">
        <v>1</v>
      </c>
      <c r="D1773" s="210">
        <f>'linked - DO NOT USE or DELETE'!D615</f>
        <v>0</v>
      </c>
      <c r="E1773" s="22">
        <f t="shared" ref="E1773:E1781" si="1029">IF(F1773=0,0,F1773/D1773)</f>
        <v>0</v>
      </c>
      <c r="F1773" s="210">
        <f>'linked - DO NOT USE or DELETE'!F615</f>
        <v>0</v>
      </c>
      <c r="G1773" s="25" t="e">
        <f t="shared" ref="G1773:G1781" si="1030">H1773/F1773</f>
        <v>#DIV/0!</v>
      </c>
      <c r="H1773" s="211">
        <f>'linked - DO NOT USE or DELETE'!H615</f>
        <v>0</v>
      </c>
      <c r="I1773" s="688"/>
      <c r="J1773" s="205"/>
    </row>
    <row r="1774" spans="1:17" x14ac:dyDescent="0.25">
      <c r="A1774" s="21">
        <f>A$6</f>
        <v>1288</v>
      </c>
      <c r="B1774" s="149">
        <f>(A1774-A1773)/A1773</f>
        <v>8.9678510998307953E-2</v>
      </c>
      <c r="C1774" s="52">
        <v>2</v>
      </c>
      <c r="D1774" s="210">
        <f>'linked - DO NOT USE or DELETE'!I615</f>
        <v>0</v>
      </c>
      <c r="E1774" s="22">
        <f t="shared" si="1029"/>
        <v>0</v>
      </c>
      <c r="F1774" s="210">
        <f>'linked - DO NOT USE or DELETE'!K615</f>
        <v>0</v>
      </c>
      <c r="G1774" s="25" t="e">
        <f t="shared" si="1030"/>
        <v>#DIV/0!</v>
      </c>
      <c r="H1774" s="211">
        <f>'linked - DO NOT USE or DELETE'!M615</f>
        <v>0</v>
      </c>
      <c r="I1774" s="688"/>
      <c r="J1774" s="205"/>
    </row>
    <row r="1775" spans="1:17" x14ac:dyDescent="0.25">
      <c r="A1775" s="21">
        <f>A$7</f>
        <v>1495</v>
      </c>
      <c r="B1775" s="149">
        <f t="shared" ref="B1775:B1787" si="1031">(A1775-A1774)/A1774</f>
        <v>0.16071428571428573</v>
      </c>
      <c r="C1775" s="52">
        <v>3</v>
      </c>
      <c r="D1775" s="210">
        <f>'linked - DO NOT USE or DELETE'!N615</f>
        <v>0</v>
      </c>
      <c r="E1775" s="22">
        <f t="shared" si="1029"/>
        <v>0</v>
      </c>
      <c r="F1775" s="210">
        <f>'linked - DO NOT USE or DELETE'!P615</f>
        <v>0</v>
      </c>
      <c r="G1775" s="25" t="e">
        <f t="shared" si="1030"/>
        <v>#DIV/0!</v>
      </c>
      <c r="H1775" s="33">
        <f>'linked - DO NOT USE or DELETE'!R615</f>
        <v>0</v>
      </c>
      <c r="I1775" s="688"/>
      <c r="J1775" s="205"/>
    </row>
    <row r="1776" spans="1:17" x14ac:dyDescent="0.25">
      <c r="A1776" s="21">
        <f>A$8</f>
        <v>1484</v>
      </c>
      <c r="B1776" s="149">
        <f t="shared" si="1031"/>
        <v>-7.3578595317725752E-3</v>
      </c>
      <c r="C1776" s="52">
        <f t="shared" ref="C1776:C1787" si="1032">C1775+1</f>
        <v>4</v>
      </c>
      <c r="D1776" s="247">
        <f>'Appendix J-2'!S103</f>
        <v>0</v>
      </c>
      <c r="E1776" s="22">
        <f t="shared" si="1029"/>
        <v>0</v>
      </c>
      <c r="F1776" s="247">
        <f>'Appendix J-2'!U103</f>
        <v>0</v>
      </c>
      <c r="G1776" s="25" t="e">
        <f t="shared" si="1030"/>
        <v>#DIV/0!</v>
      </c>
      <c r="H1776" s="248">
        <f>'Appendix J-2'!W103</f>
        <v>0</v>
      </c>
      <c r="I1776" s="688"/>
      <c r="J1776" s="205"/>
    </row>
    <row r="1777" spans="1:17" x14ac:dyDescent="0.25">
      <c r="A1777" s="21">
        <f>A$9</f>
        <v>1528</v>
      </c>
      <c r="B1777" s="149">
        <f t="shared" si="1031"/>
        <v>2.9649595687331536E-2</v>
      </c>
      <c r="C1777" s="52">
        <f t="shared" si="1032"/>
        <v>5</v>
      </c>
      <c r="D1777" s="249">
        <f>'Appendix J-2'!X103</f>
        <v>0</v>
      </c>
      <c r="E1777" s="22">
        <f t="shared" si="1029"/>
        <v>0</v>
      </c>
      <c r="F1777" s="249">
        <f>'Appendix J-2'!Z103</f>
        <v>0</v>
      </c>
      <c r="G1777" s="25" t="e">
        <f t="shared" si="1030"/>
        <v>#DIV/0!</v>
      </c>
      <c r="H1777" s="248">
        <f>'Appendix J-2'!AB103</f>
        <v>0</v>
      </c>
      <c r="I1777" s="688"/>
      <c r="J1777" s="205"/>
    </row>
    <row r="1778" spans="1:17" x14ac:dyDescent="0.25">
      <c r="A1778" s="21">
        <f>A$10</f>
        <v>1592</v>
      </c>
      <c r="B1778" s="149">
        <f t="shared" si="1031"/>
        <v>4.1884816753926704E-2</v>
      </c>
      <c r="C1778" s="20">
        <f t="shared" si="1032"/>
        <v>6</v>
      </c>
      <c r="D1778" s="249">
        <f>'Appendix J-2'!AC103</f>
        <v>0</v>
      </c>
      <c r="E1778" s="22">
        <f t="shared" si="1029"/>
        <v>0</v>
      </c>
      <c r="F1778" s="249">
        <f>'Appendix J-2'!AE103</f>
        <v>0</v>
      </c>
      <c r="G1778" s="25" t="e">
        <f t="shared" si="1030"/>
        <v>#DIV/0!</v>
      </c>
      <c r="H1778" s="248">
        <f>'Appendix J-2'!AG103</f>
        <v>0</v>
      </c>
      <c r="I1778" s="688"/>
      <c r="J1778" s="205"/>
    </row>
    <row r="1779" spans="1:17" x14ac:dyDescent="0.25">
      <c r="A1779" s="21">
        <f>A$11</f>
        <v>1642</v>
      </c>
      <c r="B1779" s="149">
        <f t="shared" si="1031"/>
        <v>3.1407035175879394E-2</v>
      </c>
      <c r="C1779" s="20">
        <f t="shared" si="1032"/>
        <v>7</v>
      </c>
      <c r="D1779" s="249">
        <f>'Appendix J-2'!AH103</f>
        <v>0</v>
      </c>
      <c r="E1779" s="22">
        <f t="shared" si="1029"/>
        <v>0</v>
      </c>
      <c r="F1779" s="249">
        <f>'Appendix J-2'!AJ103</f>
        <v>0</v>
      </c>
      <c r="G1779" s="25" t="e">
        <f t="shared" si="1030"/>
        <v>#DIV/0!</v>
      </c>
      <c r="H1779" s="248">
        <f>'Appendix J-2'!AL103</f>
        <v>0</v>
      </c>
      <c r="I1779" s="688"/>
      <c r="J1779" s="205"/>
    </row>
    <row r="1780" spans="1:17" x14ac:dyDescent="0.25">
      <c r="A1780" s="21">
        <f>A$12</f>
        <v>1675</v>
      </c>
      <c r="B1780" s="149">
        <f t="shared" si="1031"/>
        <v>2.0097442143727162E-2</v>
      </c>
      <c r="C1780" s="20">
        <f t="shared" si="1032"/>
        <v>8</v>
      </c>
      <c r="D1780" s="249">
        <f>'Appendix J-2'!AM103</f>
        <v>0</v>
      </c>
      <c r="E1780" s="22">
        <f t="shared" si="1029"/>
        <v>0</v>
      </c>
      <c r="F1780" s="249">
        <f>'Appendix J-2'!AO103</f>
        <v>0</v>
      </c>
      <c r="G1780" s="25" t="e">
        <f t="shared" si="1030"/>
        <v>#DIV/0!</v>
      </c>
      <c r="H1780" s="248">
        <f>'Appendix J-2'!AQ103</f>
        <v>0</v>
      </c>
      <c r="I1780" s="688"/>
      <c r="J1780" s="205"/>
    </row>
    <row r="1781" spans="1:17" x14ac:dyDescent="0.25">
      <c r="A1781" s="21">
        <f>A$13</f>
        <v>1739</v>
      </c>
      <c r="B1781" s="149">
        <f t="shared" si="1031"/>
        <v>3.8208955223880597E-2</v>
      </c>
      <c r="C1781" s="20">
        <f t="shared" si="1032"/>
        <v>9</v>
      </c>
      <c r="D1781" s="249">
        <f>'Appendix J-2'!AR103</f>
        <v>0</v>
      </c>
      <c r="E1781" s="22">
        <f t="shared" si="1029"/>
        <v>0</v>
      </c>
      <c r="F1781" s="249">
        <f>'Appendix J-2'!AT103</f>
        <v>0</v>
      </c>
      <c r="G1781" s="25" t="e">
        <f t="shared" si="1030"/>
        <v>#DIV/0!</v>
      </c>
      <c r="H1781" s="248">
        <f>'Appendix J-2'!AV103</f>
        <v>0</v>
      </c>
      <c r="I1781" s="688"/>
      <c r="J1781" s="205"/>
    </row>
    <row r="1782" spans="1:17" x14ac:dyDescent="0.25">
      <c r="A1782" s="21">
        <f>A$14</f>
        <v>1752</v>
      </c>
      <c r="B1782" s="149">
        <f t="shared" si="1031"/>
        <v>7.4755606670500289E-3</v>
      </c>
      <c r="C1782" s="20">
        <f t="shared" si="1032"/>
        <v>10</v>
      </c>
      <c r="D1782" s="21">
        <f>ROUND((TREND($D$1773:$D$1781,$A$1773:$A$1781,A1782)),0)</f>
        <v>0</v>
      </c>
      <c r="E1782" s="22">
        <f>TREND($E$1773:$E$1781,$A$1773:$A$1781,A1782)</f>
        <v>0</v>
      </c>
      <c r="F1782" s="21">
        <f t="shared" ref="F1782" si="1033">D1782*E1782</f>
        <v>0</v>
      </c>
      <c r="G1782" s="24">
        <f>'DDS Rates for Amend'!CW17</f>
        <v>2.94</v>
      </c>
      <c r="H1782" s="33">
        <f t="shared" ref="H1782" si="1034">F1782*G1782</f>
        <v>0</v>
      </c>
      <c r="I1782" s="688"/>
      <c r="J1782" s="205"/>
      <c r="O1782" s="31" t="s">
        <v>538</v>
      </c>
      <c r="P1782" s="31" t="s">
        <v>540</v>
      </c>
      <c r="Q1782" s="31" t="s">
        <v>539</v>
      </c>
    </row>
    <row r="1783" spans="1:17" x14ac:dyDescent="0.25">
      <c r="A1783" s="21">
        <f>A$15</f>
        <v>1822</v>
      </c>
      <c r="B1783" s="149">
        <f t="shared" si="1031"/>
        <v>3.9954337899543377E-2</v>
      </c>
      <c r="C1783" s="20">
        <f t="shared" si="1032"/>
        <v>11</v>
      </c>
      <c r="D1783" s="21">
        <f>O1783</f>
        <v>175</v>
      </c>
      <c r="E1783" s="22">
        <f>Q1783</f>
        <v>15.714285714285714</v>
      </c>
      <c r="F1783" s="21">
        <f t="shared" ref="F1783:F1787" si="1035">D1783*E1783</f>
        <v>2750</v>
      </c>
      <c r="G1783" s="24">
        <f>'DDS Rates for Amend'!CW18</f>
        <v>2.5</v>
      </c>
      <c r="H1783" s="33">
        <f t="shared" ref="H1783:H1787" si="1036">F1783*G1783</f>
        <v>6875</v>
      </c>
      <c r="I1783" s="688"/>
      <c r="J1783" s="205"/>
      <c r="N1783" s="31" t="s">
        <v>511</v>
      </c>
      <c r="O1783" s="31">
        <f>40+35+100</f>
        <v>175</v>
      </c>
      <c r="P1783" s="31">
        <f>(40*30)+(35*10)+(200*6)</f>
        <v>2750</v>
      </c>
      <c r="Q1783" s="176">
        <f>P1783/O1783</f>
        <v>15.714285714285714</v>
      </c>
    </row>
    <row r="1784" spans="1:17" x14ac:dyDescent="0.25">
      <c r="A1784" s="21">
        <f>A$16</f>
        <v>1872</v>
      </c>
      <c r="B1784" s="149">
        <f t="shared" si="1031"/>
        <v>2.7442371020856202E-2</v>
      </c>
      <c r="C1784" s="20">
        <f t="shared" si="1032"/>
        <v>12</v>
      </c>
      <c r="D1784" s="21">
        <f>O1784</f>
        <v>175</v>
      </c>
      <c r="E1784" s="22">
        <f t="shared" ref="E1784:E1787" si="1037">Q1784</f>
        <v>15.714285714285714</v>
      </c>
      <c r="F1784" s="21">
        <f t="shared" si="1035"/>
        <v>2750</v>
      </c>
      <c r="G1784" s="24">
        <f>'DDS Rates for Amend'!CW19</f>
        <v>2.5649999999999999</v>
      </c>
      <c r="H1784" s="33">
        <f t="shared" si="1036"/>
        <v>7053.75</v>
      </c>
      <c r="I1784" s="688"/>
      <c r="J1784" s="205"/>
      <c r="N1784" s="31" t="s">
        <v>512</v>
      </c>
      <c r="O1784" s="31">
        <f>40+35+100</f>
        <v>175</v>
      </c>
      <c r="P1784" s="31">
        <f>(40*30)+(35*10)+(200*6)</f>
        <v>2750</v>
      </c>
      <c r="Q1784" s="176">
        <f t="shared" ref="Q1784:Q1787" si="1038">P1784/O1784</f>
        <v>15.714285714285714</v>
      </c>
    </row>
    <row r="1785" spans="1:17" x14ac:dyDescent="0.25">
      <c r="A1785" s="21">
        <f>A$17</f>
        <v>1902</v>
      </c>
      <c r="B1785" s="149">
        <f t="shared" si="1031"/>
        <v>1.6025641025641024E-2</v>
      </c>
      <c r="C1785" s="20">
        <f t="shared" si="1032"/>
        <v>13</v>
      </c>
      <c r="D1785" s="21">
        <f>O1785</f>
        <v>235</v>
      </c>
      <c r="E1785" s="22">
        <f t="shared" si="1037"/>
        <v>11.702127659574469</v>
      </c>
      <c r="F1785" s="21">
        <f t="shared" si="1035"/>
        <v>2750</v>
      </c>
      <c r="G1785" s="24">
        <f>'DDS Rates for Amend'!CW20</f>
        <v>2.6316899999999999</v>
      </c>
      <c r="H1785" s="33">
        <f t="shared" si="1036"/>
        <v>7237.1475</v>
      </c>
      <c r="I1785" s="688"/>
      <c r="J1785" s="205"/>
      <c r="N1785" s="31" t="s">
        <v>513</v>
      </c>
      <c r="O1785" s="31">
        <f>50+35+150</f>
        <v>235</v>
      </c>
      <c r="P1785" s="31">
        <f>(50*30)+(35*10)+(150*6)</f>
        <v>2750</v>
      </c>
      <c r="Q1785" s="176">
        <f t="shared" si="1038"/>
        <v>11.702127659574469</v>
      </c>
    </row>
    <row r="1786" spans="1:17" x14ac:dyDescent="0.25">
      <c r="A1786" s="21">
        <f>A$18</f>
        <v>1932</v>
      </c>
      <c r="B1786" s="149">
        <f t="shared" si="1031"/>
        <v>1.5772870662460567E-2</v>
      </c>
      <c r="C1786" s="20">
        <f t="shared" si="1032"/>
        <v>14</v>
      </c>
      <c r="D1786" s="21">
        <f>O1786</f>
        <v>235</v>
      </c>
      <c r="E1786" s="22">
        <f t="shared" si="1037"/>
        <v>11.702127659574469</v>
      </c>
      <c r="F1786" s="21">
        <f t="shared" si="1035"/>
        <v>2750</v>
      </c>
      <c r="G1786" s="24">
        <f>'DDS Rates for Amend'!CW21</f>
        <v>2.70011394</v>
      </c>
      <c r="H1786" s="33">
        <f t="shared" si="1036"/>
        <v>7425.3133349999998</v>
      </c>
      <c r="I1786" s="688"/>
      <c r="J1786" s="205"/>
      <c r="N1786" s="31" t="s">
        <v>514</v>
      </c>
      <c r="O1786" s="31">
        <f>50+35+150</f>
        <v>235</v>
      </c>
      <c r="P1786" s="31">
        <f>(50*30)+(35*10)+(150*6)</f>
        <v>2750</v>
      </c>
      <c r="Q1786" s="176">
        <f t="shared" si="1038"/>
        <v>11.702127659574469</v>
      </c>
    </row>
    <row r="1787" spans="1:17" x14ac:dyDescent="0.25">
      <c r="A1787" s="21">
        <f>A$19</f>
        <v>1962</v>
      </c>
      <c r="B1787" s="149">
        <f t="shared" si="1031"/>
        <v>1.5527950310559006E-2</v>
      </c>
      <c r="C1787" s="20">
        <f t="shared" si="1032"/>
        <v>15</v>
      </c>
      <c r="D1787" s="21">
        <f>O1787</f>
        <v>235</v>
      </c>
      <c r="E1787" s="22">
        <f t="shared" si="1037"/>
        <v>11.702127659574469</v>
      </c>
      <c r="F1787" s="21">
        <f t="shared" si="1035"/>
        <v>2750</v>
      </c>
      <c r="G1787" s="24">
        <f>'DDS Rates for Amend'!CW22</f>
        <v>2.7703169024399998</v>
      </c>
      <c r="H1787" s="33">
        <f t="shared" si="1036"/>
        <v>7618.3714817099999</v>
      </c>
      <c r="I1787" s="689"/>
      <c r="J1787" s="205"/>
      <c r="K1787" s="285">
        <f>SUM(H1773:H1787)</f>
        <v>36209.582316709995</v>
      </c>
      <c r="N1787" s="31" t="s">
        <v>515</v>
      </c>
      <c r="O1787" s="31">
        <f>50+35+150</f>
        <v>235</v>
      </c>
      <c r="P1787" s="31">
        <f>(50*30)+(35*10)+(150*6)</f>
        <v>2750</v>
      </c>
      <c r="Q1787" s="176">
        <f t="shared" si="1038"/>
        <v>11.702127659574469</v>
      </c>
    </row>
    <row r="1789" spans="1:17" x14ac:dyDescent="0.25">
      <c r="A1789" s="293" t="s">
        <v>545</v>
      </c>
      <c r="B1789" s="294"/>
      <c r="C1789" s="294"/>
      <c r="D1789" s="294"/>
      <c r="E1789" s="290" t="str">
        <f>'Appendix J-2'!C42</f>
        <v>1 day</v>
      </c>
      <c r="F1789" s="690"/>
      <c r="G1789" s="690"/>
      <c r="H1789" s="690"/>
      <c r="I1789" s="687" t="s">
        <v>1128</v>
      </c>
      <c r="J1789" s="205"/>
    </row>
    <row r="1790" spans="1:17" x14ac:dyDescent="0.25">
      <c r="A1790" s="147" t="s">
        <v>26</v>
      </c>
      <c r="B1790" s="147" t="s">
        <v>27</v>
      </c>
      <c r="C1790" s="51" t="s">
        <v>166</v>
      </c>
      <c r="D1790" s="91" t="s">
        <v>154</v>
      </c>
      <c r="E1790" s="89" t="s">
        <v>155</v>
      </c>
      <c r="F1790" s="34" t="s">
        <v>158</v>
      </c>
      <c r="G1790" s="35" t="s">
        <v>156</v>
      </c>
      <c r="H1790" s="51" t="s">
        <v>157</v>
      </c>
      <c r="I1790" s="688"/>
      <c r="J1790" s="205"/>
    </row>
    <row r="1791" spans="1:17" x14ac:dyDescent="0.25">
      <c r="A1791" s="21">
        <f>A$5</f>
        <v>1182</v>
      </c>
      <c r="B1791" s="148"/>
      <c r="C1791" s="144">
        <v>1</v>
      </c>
      <c r="D1791" s="210">
        <f>'linked - DO NOT USE or DELETE'!D628</f>
        <v>0</v>
      </c>
      <c r="E1791" s="22">
        <f t="shared" ref="E1791:E1799" si="1039">IF(F1791=0,0,F1791/D1791)</f>
        <v>0</v>
      </c>
      <c r="F1791" s="210">
        <f>'linked - DO NOT USE or DELETE'!F628</f>
        <v>0</v>
      </c>
      <c r="G1791" s="25" t="e">
        <f t="shared" ref="G1791:G1799" si="1040">H1791/F1791</f>
        <v>#DIV/0!</v>
      </c>
      <c r="H1791" s="211">
        <f>'linked - DO NOT USE or DELETE'!H628</f>
        <v>0</v>
      </c>
      <c r="I1791" s="688"/>
      <c r="J1791" s="205"/>
    </row>
    <row r="1792" spans="1:17" x14ac:dyDescent="0.25">
      <c r="A1792" s="21">
        <f>A$6</f>
        <v>1288</v>
      </c>
      <c r="B1792" s="149">
        <f>(A1792-A1791)/A1791</f>
        <v>8.9678510998307953E-2</v>
      </c>
      <c r="C1792" s="52">
        <v>2</v>
      </c>
      <c r="D1792" s="210">
        <f>'linked - DO NOT USE or DELETE'!I628</f>
        <v>0</v>
      </c>
      <c r="E1792" s="22">
        <f t="shared" si="1039"/>
        <v>0</v>
      </c>
      <c r="F1792" s="210">
        <f>'linked - DO NOT USE or DELETE'!K628</f>
        <v>0</v>
      </c>
      <c r="G1792" s="25" t="e">
        <f t="shared" si="1040"/>
        <v>#DIV/0!</v>
      </c>
      <c r="H1792" s="211">
        <f>'linked - DO NOT USE or DELETE'!M628</f>
        <v>0</v>
      </c>
      <c r="I1792" s="688"/>
      <c r="J1792" s="205"/>
    </row>
    <row r="1793" spans="1:11" x14ac:dyDescent="0.25">
      <c r="A1793" s="21">
        <f>A$7</f>
        <v>1495</v>
      </c>
      <c r="B1793" s="149">
        <f t="shared" ref="B1793:B1805" si="1041">(A1793-A1792)/A1792</f>
        <v>0.16071428571428573</v>
      </c>
      <c r="C1793" s="52">
        <v>3</v>
      </c>
      <c r="D1793" s="210">
        <f>'linked - DO NOT USE or DELETE'!N628</f>
        <v>0</v>
      </c>
      <c r="E1793" s="22">
        <f t="shared" si="1039"/>
        <v>0</v>
      </c>
      <c r="F1793" s="210">
        <f>'linked - DO NOT USE or DELETE'!P628</f>
        <v>0</v>
      </c>
      <c r="G1793" s="25" t="e">
        <f t="shared" si="1040"/>
        <v>#DIV/0!</v>
      </c>
      <c r="H1793" s="33">
        <f>'linked - DO NOT USE or DELETE'!R628</f>
        <v>0</v>
      </c>
      <c r="I1793" s="688"/>
      <c r="J1793" s="205"/>
    </row>
    <row r="1794" spans="1:11" x14ac:dyDescent="0.25">
      <c r="A1794" s="21">
        <f>A$8</f>
        <v>1484</v>
      </c>
      <c r="B1794" s="149">
        <f t="shared" si="1041"/>
        <v>-7.3578595317725752E-3</v>
      </c>
      <c r="C1794" s="52">
        <f t="shared" ref="C1794:C1805" si="1042">C1793+1</f>
        <v>4</v>
      </c>
      <c r="D1794" s="247">
        <f>'Appendix J-2'!S42</f>
        <v>0</v>
      </c>
      <c r="E1794" s="22">
        <f t="shared" si="1039"/>
        <v>0</v>
      </c>
      <c r="F1794" s="247">
        <f>'Appendix J-2'!U42</f>
        <v>0</v>
      </c>
      <c r="G1794" s="25" t="e">
        <f t="shared" si="1040"/>
        <v>#DIV/0!</v>
      </c>
      <c r="H1794" s="248">
        <f>'Appendix J-2'!W42</f>
        <v>0</v>
      </c>
      <c r="I1794" s="688"/>
      <c r="J1794" s="205"/>
    </row>
    <row r="1795" spans="1:11" x14ac:dyDescent="0.25">
      <c r="A1795" s="21">
        <f>A$9</f>
        <v>1528</v>
      </c>
      <c r="B1795" s="149">
        <f t="shared" si="1041"/>
        <v>2.9649595687331536E-2</v>
      </c>
      <c r="C1795" s="52">
        <f t="shared" si="1042"/>
        <v>5</v>
      </c>
      <c r="D1795" s="249">
        <f>'Appendix J-2'!X42</f>
        <v>0</v>
      </c>
      <c r="E1795" s="22">
        <f t="shared" si="1039"/>
        <v>0</v>
      </c>
      <c r="F1795" s="249">
        <f>'Appendix J-2'!Z42</f>
        <v>0</v>
      </c>
      <c r="G1795" s="25" t="e">
        <f t="shared" si="1040"/>
        <v>#DIV/0!</v>
      </c>
      <c r="H1795" s="248">
        <f>'Appendix J-2'!AB42</f>
        <v>0</v>
      </c>
      <c r="I1795" s="688"/>
      <c r="J1795" s="205"/>
    </row>
    <row r="1796" spans="1:11" x14ac:dyDescent="0.25">
      <c r="A1796" s="21">
        <f>A$10</f>
        <v>1592</v>
      </c>
      <c r="B1796" s="149">
        <f t="shared" si="1041"/>
        <v>4.1884816753926704E-2</v>
      </c>
      <c r="C1796" s="52">
        <f t="shared" si="1042"/>
        <v>6</v>
      </c>
      <c r="D1796" s="249">
        <f>'Appendix J-2'!AC42</f>
        <v>0</v>
      </c>
      <c r="E1796" s="22">
        <f t="shared" si="1039"/>
        <v>0</v>
      </c>
      <c r="F1796" s="249">
        <f>'Appendix J-2'!AE42</f>
        <v>0</v>
      </c>
      <c r="G1796" s="25" t="e">
        <f t="shared" si="1040"/>
        <v>#DIV/0!</v>
      </c>
      <c r="H1796" s="248">
        <f>'Appendix J-2'!AG42</f>
        <v>0</v>
      </c>
      <c r="I1796" s="688"/>
      <c r="J1796" s="205"/>
    </row>
    <row r="1797" spans="1:11" x14ac:dyDescent="0.25">
      <c r="A1797" s="21">
        <f>A$11</f>
        <v>1642</v>
      </c>
      <c r="B1797" s="149">
        <f t="shared" si="1041"/>
        <v>3.1407035175879394E-2</v>
      </c>
      <c r="C1797" s="20">
        <f t="shared" si="1042"/>
        <v>7</v>
      </c>
      <c r="D1797" s="249">
        <f>'Appendix J-2'!AH42</f>
        <v>0</v>
      </c>
      <c r="E1797" s="22">
        <f t="shared" si="1039"/>
        <v>0</v>
      </c>
      <c r="F1797" s="249">
        <f>'Appendix J-2'!AJ42</f>
        <v>0</v>
      </c>
      <c r="G1797" s="25" t="e">
        <f t="shared" si="1040"/>
        <v>#DIV/0!</v>
      </c>
      <c r="H1797" s="248">
        <f>'Appendix J-2'!AL42</f>
        <v>0</v>
      </c>
      <c r="I1797" s="688"/>
      <c r="J1797" s="205"/>
    </row>
    <row r="1798" spans="1:11" x14ac:dyDescent="0.25">
      <c r="A1798" s="21">
        <f>A$12</f>
        <v>1675</v>
      </c>
      <c r="B1798" s="149">
        <f t="shared" si="1041"/>
        <v>2.0097442143727162E-2</v>
      </c>
      <c r="C1798" s="20">
        <f t="shared" si="1042"/>
        <v>8</v>
      </c>
      <c r="D1798" s="249">
        <f>'Appendix J-2'!AM42</f>
        <v>0</v>
      </c>
      <c r="E1798" s="22">
        <f t="shared" si="1039"/>
        <v>0</v>
      </c>
      <c r="F1798" s="249">
        <f>'Appendix J-2'!AO42</f>
        <v>0</v>
      </c>
      <c r="G1798" s="25" t="e">
        <f t="shared" si="1040"/>
        <v>#DIV/0!</v>
      </c>
      <c r="H1798" s="248">
        <f>'Appendix J-2'!AQ42</f>
        <v>0</v>
      </c>
      <c r="I1798" s="688"/>
      <c r="J1798" s="205"/>
    </row>
    <row r="1799" spans="1:11" x14ac:dyDescent="0.25">
      <c r="A1799" s="21">
        <f>A$13</f>
        <v>1739</v>
      </c>
      <c r="B1799" s="149">
        <f t="shared" si="1041"/>
        <v>3.8208955223880597E-2</v>
      </c>
      <c r="C1799" s="20">
        <f t="shared" si="1042"/>
        <v>9</v>
      </c>
      <c r="D1799" s="249">
        <f>'Appendix J-2'!AR42</f>
        <v>0</v>
      </c>
      <c r="E1799" s="22">
        <f t="shared" si="1039"/>
        <v>0</v>
      </c>
      <c r="F1799" s="249">
        <f>'Appendix J-2'!AT42</f>
        <v>0</v>
      </c>
      <c r="G1799" s="25" t="e">
        <f t="shared" si="1040"/>
        <v>#DIV/0!</v>
      </c>
      <c r="H1799" s="248">
        <f>'Appendix J-2'!AV42</f>
        <v>0</v>
      </c>
      <c r="I1799" s="688"/>
      <c r="J1799" s="205"/>
    </row>
    <row r="1800" spans="1:11" x14ac:dyDescent="0.25">
      <c r="A1800" s="21">
        <f>A$14</f>
        <v>1752</v>
      </c>
      <c r="B1800" s="149">
        <f t="shared" si="1041"/>
        <v>7.4755606670500289E-3</v>
      </c>
      <c r="C1800" s="20">
        <f t="shared" si="1042"/>
        <v>10</v>
      </c>
      <c r="D1800" s="21">
        <f>ROUND((TREND($D$1791:$D$1799,$A$1791:$A$1799,A1800)),0)</f>
        <v>0</v>
      </c>
      <c r="E1800" s="22">
        <f>IF(TREND($E$1791:$E$1799,$A$1791:$A$1799,A1800)&lt;365,TREND($E$1791:$E$1799,$A$1791:$A$1799,A1800),365)</f>
        <v>0</v>
      </c>
      <c r="F1800" s="21">
        <f t="shared" ref="F1800" si="1043">D1800*E1800</f>
        <v>0</v>
      </c>
      <c r="G1800" s="24">
        <f>'DDS Rates for Amend'!DI17</f>
        <v>7.37</v>
      </c>
      <c r="H1800" s="33">
        <f t="shared" ref="H1800" si="1044">F1800*G1800</f>
        <v>0</v>
      </c>
      <c r="I1800" s="688"/>
      <c r="J1800" s="205"/>
    </row>
    <row r="1801" spans="1:11" x14ac:dyDescent="0.25">
      <c r="A1801" s="21">
        <f>A$15</f>
        <v>1822</v>
      </c>
      <c r="B1801" s="149">
        <f t="shared" si="1041"/>
        <v>3.9954337899543377E-2</v>
      </c>
      <c r="C1801" s="20">
        <f t="shared" si="1042"/>
        <v>11</v>
      </c>
      <c r="D1801" s="21">
        <v>5</v>
      </c>
      <c r="E1801" s="22">
        <f t="shared" ref="E1801:E1805" si="1045">IF((3*52)&lt;365,(3*52),365)</f>
        <v>156</v>
      </c>
      <c r="F1801" s="21">
        <f t="shared" ref="F1801:F1805" si="1046">D1801*E1801</f>
        <v>780</v>
      </c>
      <c r="G1801" s="24">
        <f>'DDS Rates for Amend'!DI18</f>
        <v>7.5616200000000005</v>
      </c>
      <c r="H1801" s="33">
        <f t="shared" ref="H1801:H1805" si="1047">F1801*G1801</f>
        <v>5898.0636000000004</v>
      </c>
      <c r="I1801" s="688"/>
      <c r="J1801" s="205"/>
    </row>
    <row r="1802" spans="1:11" x14ac:dyDescent="0.25">
      <c r="A1802" s="21">
        <f>A$16</f>
        <v>1872</v>
      </c>
      <c r="B1802" s="149">
        <f t="shared" si="1041"/>
        <v>2.7442371020856202E-2</v>
      </c>
      <c r="C1802" s="20">
        <f t="shared" si="1042"/>
        <v>12</v>
      </c>
      <c r="D1802" s="21">
        <v>5</v>
      </c>
      <c r="E1802" s="22">
        <f t="shared" si="1045"/>
        <v>156</v>
      </c>
      <c r="F1802" s="21">
        <f t="shared" si="1046"/>
        <v>780</v>
      </c>
      <c r="G1802" s="24">
        <f>'DDS Rates for Amend'!DI19</f>
        <v>7.7582221200000001</v>
      </c>
      <c r="H1802" s="33">
        <f t="shared" si="1047"/>
        <v>6051.4132535999997</v>
      </c>
      <c r="I1802" s="688"/>
      <c r="J1802" s="205"/>
    </row>
    <row r="1803" spans="1:11" x14ac:dyDescent="0.25">
      <c r="A1803" s="21">
        <f>A$17</f>
        <v>1902</v>
      </c>
      <c r="B1803" s="149">
        <f t="shared" si="1041"/>
        <v>1.6025641025641024E-2</v>
      </c>
      <c r="C1803" s="20">
        <f t="shared" si="1042"/>
        <v>13</v>
      </c>
      <c r="D1803" s="21">
        <v>5</v>
      </c>
      <c r="E1803" s="22">
        <f t="shared" si="1045"/>
        <v>156</v>
      </c>
      <c r="F1803" s="21">
        <f t="shared" si="1046"/>
        <v>780</v>
      </c>
      <c r="G1803" s="24">
        <f>'DDS Rates for Amend'!DI20</f>
        <v>7.9599358951200001</v>
      </c>
      <c r="H1803" s="33">
        <f t="shared" si="1047"/>
        <v>6208.7499981935998</v>
      </c>
      <c r="I1803" s="688"/>
      <c r="J1803" s="205"/>
    </row>
    <row r="1804" spans="1:11" x14ac:dyDescent="0.25">
      <c r="A1804" s="21">
        <f>A$18</f>
        <v>1932</v>
      </c>
      <c r="B1804" s="149">
        <f t="shared" si="1041"/>
        <v>1.5772870662460567E-2</v>
      </c>
      <c r="C1804" s="20">
        <f t="shared" si="1042"/>
        <v>14</v>
      </c>
      <c r="D1804" s="21">
        <v>5</v>
      </c>
      <c r="E1804" s="22">
        <f t="shared" si="1045"/>
        <v>156</v>
      </c>
      <c r="F1804" s="21">
        <f t="shared" si="1046"/>
        <v>780</v>
      </c>
      <c r="G1804" s="24">
        <f>'DDS Rates for Amend'!DI21</f>
        <v>8.1668942283931205</v>
      </c>
      <c r="H1804" s="33">
        <f t="shared" si="1047"/>
        <v>6370.1774981466342</v>
      </c>
      <c r="I1804" s="688"/>
      <c r="J1804" s="205"/>
    </row>
    <row r="1805" spans="1:11" x14ac:dyDescent="0.25">
      <c r="A1805" s="21">
        <f>A$19</f>
        <v>1962</v>
      </c>
      <c r="B1805" s="149">
        <f t="shared" si="1041"/>
        <v>1.5527950310559006E-2</v>
      </c>
      <c r="C1805" s="20">
        <f t="shared" si="1042"/>
        <v>15</v>
      </c>
      <c r="D1805" s="21">
        <v>5</v>
      </c>
      <c r="E1805" s="22">
        <f t="shared" si="1045"/>
        <v>156</v>
      </c>
      <c r="F1805" s="21">
        <f t="shared" si="1046"/>
        <v>780</v>
      </c>
      <c r="G1805" s="24">
        <f>'DDS Rates for Amend'!DI22</f>
        <v>8.3792334783313418</v>
      </c>
      <c r="H1805" s="33">
        <f t="shared" si="1047"/>
        <v>6535.8021130984462</v>
      </c>
      <c r="I1805" s="689"/>
      <c r="J1805" s="205"/>
      <c r="K1805" s="285">
        <f>SUM(H1791:H1805)</f>
        <v>31064.206463038681</v>
      </c>
    </row>
    <row r="1806" spans="1:11" x14ac:dyDescent="0.25">
      <c r="A1806" s="153"/>
      <c r="B1806" s="154"/>
      <c r="C1806" s="158"/>
      <c r="D1806" s="383"/>
      <c r="E1806" s="381"/>
      <c r="F1806" s="153"/>
      <c r="G1806" s="214"/>
      <c r="H1806" s="199"/>
      <c r="I1806" s="384"/>
      <c r="J1806" s="205"/>
      <c r="K1806" s="285"/>
    </row>
    <row r="1807" spans="1:11" x14ac:dyDescent="0.25">
      <c r="A1807" s="293" t="s">
        <v>546</v>
      </c>
      <c r="B1807" s="294"/>
      <c r="C1807" s="294"/>
      <c r="D1807" s="294"/>
      <c r="E1807" s="331" t="str">
        <f>'Appendix J-2'!C60</f>
        <v>1 day</v>
      </c>
      <c r="F1807" s="690"/>
      <c r="G1807" s="690"/>
      <c r="H1807" s="690"/>
      <c r="I1807" s="687" t="s">
        <v>1127</v>
      </c>
      <c r="J1807" s="205"/>
      <c r="K1807" s="285"/>
    </row>
    <row r="1808" spans="1:11" x14ac:dyDescent="0.25">
      <c r="A1808" s="147" t="s">
        <v>26</v>
      </c>
      <c r="B1808" s="147" t="s">
        <v>27</v>
      </c>
      <c r="C1808" s="51" t="s">
        <v>166</v>
      </c>
      <c r="D1808" s="91" t="s">
        <v>154</v>
      </c>
      <c r="E1808" s="89" t="s">
        <v>155</v>
      </c>
      <c r="F1808" s="34" t="s">
        <v>158</v>
      </c>
      <c r="G1808" s="35" t="s">
        <v>156</v>
      </c>
      <c r="H1808" s="51" t="s">
        <v>157</v>
      </c>
      <c r="I1808" s="688"/>
      <c r="J1808" s="205"/>
      <c r="K1808" s="285"/>
    </row>
    <row r="1809" spans="1:11" x14ac:dyDescent="0.25">
      <c r="A1809" s="21">
        <f>A$5</f>
        <v>1182</v>
      </c>
      <c r="B1809" s="148"/>
      <c r="C1809" s="144">
        <v>1</v>
      </c>
      <c r="D1809" s="210">
        <f>'linked - DO NOT USE or DELETE'!D646</f>
        <v>0</v>
      </c>
      <c r="E1809" s="22">
        <f t="shared" ref="E1809:E1817" si="1048">IF(F1809=0,0,F1809/D1809)</f>
        <v>0</v>
      </c>
      <c r="F1809" s="210">
        <f>'linked - DO NOT USE or DELETE'!F646</f>
        <v>0</v>
      </c>
      <c r="G1809" s="25" t="e">
        <f t="shared" ref="G1809:G1817" si="1049">H1809/F1809</f>
        <v>#DIV/0!</v>
      </c>
      <c r="H1809" s="211">
        <f>'linked - DO NOT USE or DELETE'!H646</f>
        <v>0</v>
      </c>
      <c r="I1809" s="688"/>
      <c r="J1809" s="205"/>
      <c r="K1809" s="285"/>
    </row>
    <row r="1810" spans="1:11" x14ac:dyDescent="0.25">
      <c r="A1810" s="21">
        <f>A$6</f>
        <v>1288</v>
      </c>
      <c r="B1810" s="149">
        <f>(A1810-A1809)/A1809</f>
        <v>8.9678510998307953E-2</v>
      </c>
      <c r="C1810" s="52">
        <v>2</v>
      </c>
      <c r="D1810" s="210">
        <f>'linked - DO NOT USE or DELETE'!I646</f>
        <v>0</v>
      </c>
      <c r="E1810" s="22">
        <f t="shared" si="1048"/>
        <v>0</v>
      </c>
      <c r="F1810" s="210">
        <f>'linked - DO NOT USE or DELETE'!K646</f>
        <v>0</v>
      </c>
      <c r="G1810" s="25" t="e">
        <f t="shared" si="1049"/>
        <v>#DIV/0!</v>
      </c>
      <c r="H1810" s="211">
        <f>'linked - DO NOT USE or DELETE'!M646</f>
        <v>0</v>
      </c>
      <c r="I1810" s="688"/>
      <c r="J1810" s="205"/>
      <c r="K1810" s="285"/>
    </row>
    <row r="1811" spans="1:11" x14ac:dyDescent="0.25">
      <c r="A1811" s="21">
        <f>A$7</f>
        <v>1495</v>
      </c>
      <c r="B1811" s="149">
        <f t="shared" ref="B1811:B1823" si="1050">(A1811-A1810)/A1810</f>
        <v>0.16071428571428573</v>
      </c>
      <c r="C1811" s="52">
        <v>3</v>
      </c>
      <c r="D1811" s="210">
        <f>'linked - DO NOT USE or DELETE'!N646</f>
        <v>0</v>
      </c>
      <c r="E1811" s="22">
        <f t="shared" si="1048"/>
        <v>0</v>
      </c>
      <c r="F1811" s="210">
        <f>'linked - DO NOT USE or DELETE'!P646</f>
        <v>0</v>
      </c>
      <c r="G1811" s="25" t="e">
        <f t="shared" si="1049"/>
        <v>#DIV/0!</v>
      </c>
      <c r="H1811" s="33">
        <f>'linked - DO NOT USE or DELETE'!R646</f>
        <v>0</v>
      </c>
      <c r="I1811" s="688"/>
      <c r="J1811" s="205"/>
      <c r="K1811" s="285"/>
    </row>
    <row r="1812" spans="1:11" x14ac:dyDescent="0.25">
      <c r="A1812" s="21">
        <f>A$8</f>
        <v>1484</v>
      </c>
      <c r="B1812" s="149">
        <f t="shared" si="1050"/>
        <v>-7.3578595317725752E-3</v>
      </c>
      <c r="C1812" s="52">
        <f t="shared" ref="C1812:C1823" si="1051">C1811+1</f>
        <v>4</v>
      </c>
      <c r="D1812" s="247">
        <f>'Appendix J-2'!S43</f>
        <v>0</v>
      </c>
      <c r="E1812" s="22">
        <f t="shared" si="1048"/>
        <v>0</v>
      </c>
      <c r="F1812" s="247">
        <f>'Appendix J-2'!U43</f>
        <v>0</v>
      </c>
      <c r="G1812" s="25" t="e">
        <f t="shared" si="1049"/>
        <v>#DIV/0!</v>
      </c>
      <c r="H1812" s="248">
        <f>'Appendix J-2'!W43</f>
        <v>0</v>
      </c>
      <c r="I1812" s="688"/>
      <c r="J1812" s="205"/>
      <c r="K1812" s="285"/>
    </row>
    <row r="1813" spans="1:11" x14ac:dyDescent="0.25">
      <c r="A1813" s="21">
        <f>A$9</f>
        <v>1528</v>
      </c>
      <c r="B1813" s="149">
        <f t="shared" si="1050"/>
        <v>2.9649595687331536E-2</v>
      </c>
      <c r="C1813" s="52">
        <f t="shared" si="1051"/>
        <v>5</v>
      </c>
      <c r="D1813" s="249">
        <f>'Appendix J-2'!X43</f>
        <v>0</v>
      </c>
      <c r="E1813" s="22">
        <f t="shared" si="1048"/>
        <v>0</v>
      </c>
      <c r="F1813" s="249">
        <f>'Appendix J-2'!Z43</f>
        <v>0</v>
      </c>
      <c r="G1813" s="25" t="e">
        <f t="shared" si="1049"/>
        <v>#DIV/0!</v>
      </c>
      <c r="H1813" s="248">
        <f>'Appendix J-2'!AB43</f>
        <v>0</v>
      </c>
      <c r="I1813" s="688"/>
      <c r="J1813" s="205"/>
      <c r="K1813" s="285"/>
    </row>
    <row r="1814" spans="1:11" x14ac:dyDescent="0.25">
      <c r="A1814" s="21">
        <f>A$10</f>
        <v>1592</v>
      </c>
      <c r="B1814" s="149">
        <f t="shared" si="1050"/>
        <v>4.1884816753926704E-2</v>
      </c>
      <c r="C1814" s="52">
        <f t="shared" si="1051"/>
        <v>6</v>
      </c>
      <c r="D1814" s="249">
        <f>'Appendix J-2'!AC43</f>
        <v>0</v>
      </c>
      <c r="E1814" s="22">
        <f t="shared" si="1048"/>
        <v>0</v>
      </c>
      <c r="F1814" s="249">
        <f>'Appendix J-2'!AE43</f>
        <v>0</v>
      </c>
      <c r="G1814" s="25" t="e">
        <f t="shared" si="1049"/>
        <v>#DIV/0!</v>
      </c>
      <c r="H1814" s="248">
        <f>'Appendix J-2'!AG43</f>
        <v>0</v>
      </c>
      <c r="I1814" s="688"/>
      <c r="J1814" s="205"/>
      <c r="K1814" s="285"/>
    </row>
    <row r="1815" spans="1:11" x14ac:dyDescent="0.25">
      <c r="A1815" s="21">
        <f>A$11</f>
        <v>1642</v>
      </c>
      <c r="B1815" s="149">
        <f t="shared" si="1050"/>
        <v>3.1407035175879394E-2</v>
      </c>
      <c r="C1815" s="20">
        <f t="shared" si="1051"/>
        <v>7</v>
      </c>
      <c r="D1815" s="249">
        <f>'Appendix J-2'!AH43</f>
        <v>0</v>
      </c>
      <c r="E1815" s="22">
        <f t="shared" si="1048"/>
        <v>0</v>
      </c>
      <c r="F1815" s="249">
        <f>'Appendix J-2'!AJ43</f>
        <v>0</v>
      </c>
      <c r="G1815" s="25" t="e">
        <f t="shared" si="1049"/>
        <v>#DIV/0!</v>
      </c>
      <c r="H1815" s="248">
        <f>'Appendix J-2'!AL43</f>
        <v>0</v>
      </c>
      <c r="I1815" s="688"/>
      <c r="J1815" s="205"/>
      <c r="K1815" s="285"/>
    </row>
    <row r="1816" spans="1:11" x14ac:dyDescent="0.25">
      <c r="A1816" s="21">
        <f>A$12</f>
        <v>1675</v>
      </c>
      <c r="B1816" s="149">
        <f t="shared" si="1050"/>
        <v>2.0097442143727162E-2</v>
      </c>
      <c r="C1816" s="20">
        <f t="shared" si="1051"/>
        <v>8</v>
      </c>
      <c r="D1816" s="249">
        <f>'Appendix J-2'!AM43</f>
        <v>0</v>
      </c>
      <c r="E1816" s="22">
        <f t="shared" si="1048"/>
        <v>0</v>
      </c>
      <c r="F1816" s="249">
        <f>'Appendix J-2'!AO43</f>
        <v>0</v>
      </c>
      <c r="G1816" s="25" t="e">
        <f t="shared" si="1049"/>
        <v>#DIV/0!</v>
      </c>
      <c r="H1816" s="248">
        <f>'Appendix J-2'!AQ43</f>
        <v>0</v>
      </c>
      <c r="I1816" s="688"/>
      <c r="J1816" s="205"/>
      <c r="K1816" s="285"/>
    </row>
    <row r="1817" spans="1:11" x14ac:dyDescent="0.25">
      <c r="A1817" s="21">
        <f>A$13</f>
        <v>1739</v>
      </c>
      <c r="B1817" s="149">
        <f t="shared" si="1050"/>
        <v>3.8208955223880597E-2</v>
      </c>
      <c r="C1817" s="20">
        <f t="shared" si="1051"/>
        <v>9</v>
      </c>
      <c r="D1817" s="249">
        <f>'Appendix J-2'!AR43</f>
        <v>0</v>
      </c>
      <c r="E1817" s="22">
        <f t="shared" si="1048"/>
        <v>0</v>
      </c>
      <c r="F1817" s="249">
        <f>'Appendix J-2'!AT43</f>
        <v>0</v>
      </c>
      <c r="G1817" s="25" t="e">
        <f t="shared" si="1049"/>
        <v>#DIV/0!</v>
      </c>
      <c r="H1817" s="248">
        <f>'Appendix J-2'!AV43</f>
        <v>0</v>
      </c>
      <c r="I1817" s="688"/>
      <c r="J1817" s="205"/>
      <c r="K1817" s="285"/>
    </row>
    <row r="1818" spans="1:11" x14ac:dyDescent="0.25">
      <c r="A1818" s="21">
        <f>A$14</f>
        <v>1752</v>
      </c>
      <c r="B1818" s="149">
        <f t="shared" si="1050"/>
        <v>7.4755606670500289E-3</v>
      </c>
      <c r="C1818" s="20">
        <f t="shared" si="1051"/>
        <v>10</v>
      </c>
      <c r="D1818" s="21">
        <f>ROUND((TREND($D$1791:$D$1799,$A$1791:$A$1799,A1818)),0)</f>
        <v>0</v>
      </c>
      <c r="E1818" s="22">
        <f>IF(TREND($E$1791:$E$1799,$A$1791:$A$1799,A1818)&lt;365,TREND($E$1791:$E$1799,$A$1791:$A$1799,A1818),365)</f>
        <v>0</v>
      </c>
      <c r="F1818" s="21">
        <f t="shared" ref="F1818:F1823" si="1052">D1818*E1818</f>
        <v>0</v>
      </c>
      <c r="G1818" s="24">
        <f>'DDS Rates for Amend'!DJ17</f>
        <v>5.0599999999999996</v>
      </c>
      <c r="H1818" s="33">
        <f t="shared" ref="H1818:H1823" si="1053">F1818*G1818</f>
        <v>0</v>
      </c>
      <c r="I1818" s="688"/>
      <c r="J1818" s="205"/>
      <c r="K1818" s="285"/>
    </row>
    <row r="1819" spans="1:11" x14ac:dyDescent="0.25">
      <c r="A1819" s="21">
        <f>A$15</f>
        <v>1822</v>
      </c>
      <c r="B1819" s="149">
        <f t="shared" si="1050"/>
        <v>3.9954337899543377E-2</v>
      </c>
      <c r="C1819" s="20">
        <f t="shared" si="1051"/>
        <v>11</v>
      </c>
      <c r="D1819" s="21">
        <v>3</v>
      </c>
      <c r="E1819" s="22">
        <f t="shared" ref="E1819:E1823" si="1054">IF((3*52)&lt;365,(3*52),365)</f>
        <v>156</v>
      </c>
      <c r="F1819" s="21">
        <f t="shared" si="1052"/>
        <v>468</v>
      </c>
      <c r="G1819" s="24">
        <f>'DDS Rates for Amend'!DJ18</f>
        <v>5.19156</v>
      </c>
      <c r="H1819" s="33">
        <f t="shared" si="1053"/>
        <v>2429.6500799999999</v>
      </c>
      <c r="I1819" s="688"/>
      <c r="J1819" s="205"/>
      <c r="K1819" s="285"/>
    </row>
    <row r="1820" spans="1:11" x14ac:dyDescent="0.25">
      <c r="A1820" s="21">
        <f>A$16</f>
        <v>1872</v>
      </c>
      <c r="B1820" s="149">
        <f t="shared" si="1050"/>
        <v>2.7442371020856202E-2</v>
      </c>
      <c r="C1820" s="20">
        <f t="shared" si="1051"/>
        <v>12</v>
      </c>
      <c r="D1820" s="21">
        <v>3</v>
      </c>
      <c r="E1820" s="22">
        <f t="shared" si="1054"/>
        <v>156</v>
      </c>
      <c r="F1820" s="21">
        <f t="shared" si="1052"/>
        <v>468</v>
      </c>
      <c r="G1820" s="24">
        <f>'DDS Rates for Amend'!DJ19</f>
        <v>5.3265405599999998</v>
      </c>
      <c r="H1820" s="33">
        <f t="shared" si="1053"/>
        <v>2492.8209820799998</v>
      </c>
      <c r="I1820" s="688"/>
      <c r="J1820" s="205"/>
      <c r="K1820" s="285"/>
    </row>
    <row r="1821" spans="1:11" x14ac:dyDescent="0.25">
      <c r="A1821" s="21">
        <f>A$17</f>
        <v>1902</v>
      </c>
      <c r="B1821" s="149">
        <f t="shared" si="1050"/>
        <v>1.6025641025641024E-2</v>
      </c>
      <c r="C1821" s="20">
        <f t="shared" si="1051"/>
        <v>13</v>
      </c>
      <c r="D1821" s="21">
        <v>3</v>
      </c>
      <c r="E1821" s="22">
        <f t="shared" si="1054"/>
        <v>156</v>
      </c>
      <c r="F1821" s="21">
        <f t="shared" si="1052"/>
        <v>468</v>
      </c>
      <c r="G1821" s="24">
        <f>'DDS Rates for Amend'!DJ20</f>
        <v>5.4650306145599998</v>
      </c>
      <c r="H1821" s="33">
        <f t="shared" si="1053"/>
        <v>2557.6343276140801</v>
      </c>
      <c r="I1821" s="688"/>
      <c r="J1821" s="205"/>
      <c r="K1821" s="285"/>
    </row>
    <row r="1822" spans="1:11" x14ac:dyDescent="0.25">
      <c r="A1822" s="21">
        <f>A$18</f>
        <v>1932</v>
      </c>
      <c r="B1822" s="149">
        <f t="shared" si="1050"/>
        <v>1.5772870662460567E-2</v>
      </c>
      <c r="C1822" s="20">
        <f t="shared" si="1051"/>
        <v>14</v>
      </c>
      <c r="D1822" s="21">
        <v>3</v>
      </c>
      <c r="E1822" s="22">
        <f t="shared" si="1054"/>
        <v>156</v>
      </c>
      <c r="F1822" s="21">
        <f t="shared" si="1052"/>
        <v>468</v>
      </c>
      <c r="G1822" s="24">
        <f>'DDS Rates for Amend'!DJ21</f>
        <v>5.6071214105385598</v>
      </c>
      <c r="H1822" s="33">
        <f t="shared" si="1053"/>
        <v>2624.1328201320462</v>
      </c>
      <c r="I1822" s="688"/>
      <c r="J1822" s="205"/>
      <c r="K1822" s="285"/>
    </row>
    <row r="1823" spans="1:11" x14ac:dyDescent="0.25">
      <c r="A1823" s="21">
        <f>A$19</f>
        <v>1962</v>
      </c>
      <c r="B1823" s="149">
        <f t="shared" si="1050"/>
        <v>1.5527950310559006E-2</v>
      </c>
      <c r="C1823" s="20">
        <f t="shared" si="1051"/>
        <v>15</v>
      </c>
      <c r="D1823" s="21">
        <v>3</v>
      </c>
      <c r="E1823" s="22">
        <f t="shared" si="1054"/>
        <v>156</v>
      </c>
      <c r="F1823" s="21">
        <f t="shared" si="1052"/>
        <v>468</v>
      </c>
      <c r="G1823" s="24">
        <f>'DDS Rates for Amend'!DJ22</f>
        <v>5.7529065672125625</v>
      </c>
      <c r="H1823" s="33">
        <f t="shared" si="1053"/>
        <v>2692.3602734554793</v>
      </c>
      <c r="I1823" s="689"/>
      <c r="J1823" s="205"/>
      <c r="K1823" s="285">
        <f>SUM(H1809:H1823)</f>
        <v>12796.598483281605</v>
      </c>
    </row>
    <row r="1824" spans="1:11" x14ac:dyDescent="0.25">
      <c r="A1824" s="153"/>
      <c r="B1824" s="154"/>
      <c r="C1824" s="158"/>
      <c r="D1824" s="153"/>
      <c r="E1824" s="213"/>
      <c r="F1824" s="153"/>
      <c r="G1824" s="214"/>
      <c r="H1824" s="199"/>
      <c r="I1824" s="384"/>
      <c r="J1824" s="205"/>
      <c r="K1824" s="285"/>
    </row>
    <row r="1825" spans="1:11" x14ac:dyDescent="0.25">
      <c r="A1825" s="293" t="s">
        <v>547</v>
      </c>
      <c r="B1825" s="294"/>
      <c r="C1825" s="294"/>
      <c r="D1825" s="294"/>
      <c r="E1825" s="331" t="str">
        <f>'Appendix J-2'!C78</f>
        <v>1 day</v>
      </c>
      <c r="F1825" s="690"/>
      <c r="G1825" s="690"/>
      <c r="H1825" s="690"/>
      <c r="I1825" s="687" t="s">
        <v>1126</v>
      </c>
      <c r="J1825" s="205"/>
      <c r="K1825" s="285"/>
    </row>
    <row r="1826" spans="1:11" x14ac:dyDescent="0.25">
      <c r="A1826" s="147" t="s">
        <v>26</v>
      </c>
      <c r="B1826" s="147" t="s">
        <v>27</v>
      </c>
      <c r="C1826" s="51" t="s">
        <v>166</v>
      </c>
      <c r="D1826" s="91" t="s">
        <v>154</v>
      </c>
      <c r="E1826" s="89" t="s">
        <v>155</v>
      </c>
      <c r="F1826" s="34" t="s">
        <v>158</v>
      </c>
      <c r="G1826" s="35" t="s">
        <v>156</v>
      </c>
      <c r="H1826" s="51" t="s">
        <v>157</v>
      </c>
      <c r="I1826" s="688"/>
      <c r="J1826" s="205"/>
      <c r="K1826" s="285"/>
    </row>
    <row r="1827" spans="1:11" x14ac:dyDescent="0.25">
      <c r="A1827" s="21">
        <f>A$5</f>
        <v>1182</v>
      </c>
      <c r="B1827" s="148"/>
      <c r="C1827" s="144">
        <v>1</v>
      </c>
      <c r="D1827" s="210">
        <f>'linked - DO NOT USE or DELETE'!D664</f>
        <v>0</v>
      </c>
      <c r="E1827" s="22">
        <f t="shared" ref="E1827:E1835" si="1055">IF(F1827=0,0,F1827/D1827)</f>
        <v>0</v>
      </c>
      <c r="F1827" s="210">
        <f>'linked - DO NOT USE or DELETE'!F664</f>
        <v>0</v>
      </c>
      <c r="G1827" s="25" t="e">
        <f t="shared" ref="G1827:G1835" si="1056">H1827/F1827</f>
        <v>#DIV/0!</v>
      </c>
      <c r="H1827" s="211">
        <f>'linked - DO NOT USE or DELETE'!H664</f>
        <v>0</v>
      </c>
      <c r="I1827" s="688"/>
      <c r="J1827" s="205"/>
      <c r="K1827" s="285"/>
    </row>
    <row r="1828" spans="1:11" x14ac:dyDescent="0.25">
      <c r="A1828" s="21">
        <f>A$6</f>
        <v>1288</v>
      </c>
      <c r="B1828" s="149">
        <f>(A1828-A1827)/A1827</f>
        <v>8.9678510998307953E-2</v>
      </c>
      <c r="C1828" s="52">
        <v>2</v>
      </c>
      <c r="D1828" s="210">
        <f>'linked - DO NOT USE or DELETE'!I664</f>
        <v>0</v>
      </c>
      <c r="E1828" s="22">
        <f t="shared" si="1055"/>
        <v>0</v>
      </c>
      <c r="F1828" s="210">
        <f>'linked - DO NOT USE or DELETE'!K664</f>
        <v>0</v>
      </c>
      <c r="G1828" s="25" t="e">
        <f t="shared" si="1056"/>
        <v>#DIV/0!</v>
      </c>
      <c r="H1828" s="211">
        <f>'linked - DO NOT USE or DELETE'!M664</f>
        <v>0</v>
      </c>
      <c r="I1828" s="688"/>
      <c r="J1828" s="205"/>
      <c r="K1828" s="285"/>
    </row>
    <row r="1829" spans="1:11" x14ac:dyDescent="0.25">
      <c r="A1829" s="21">
        <f>A$7</f>
        <v>1495</v>
      </c>
      <c r="B1829" s="149">
        <f t="shared" ref="B1829:B1841" si="1057">(A1829-A1828)/A1828</f>
        <v>0.16071428571428573</v>
      </c>
      <c r="C1829" s="52">
        <v>3</v>
      </c>
      <c r="D1829" s="210">
        <f>'linked - DO NOT USE or DELETE'!N664</f>
        <v>0</v>
      </c>
      <c r="E1829" s="22">
        <f t="shared" si="1055"/>
        <v>0</v>
      </c>
      <c r="F1829" s="210">
        <f>'linked - DO NOT USE or DELETE'!P664</f>
        <v>0</v>
      </c>
      <c r="G1829" s="25" t="e">
        <f t="shared" si="1056"/>
        <v>#DIV/0!</v>
      </c>
      <c r="H1829" s="33">
        <f>'linked - DO NOT USE or DELETE'!R664</f>
        <v>0</v>
      </c>
      <c r="I1829" s="688"/>
      <c r="J1829" s="205"/>
      <c r="K1829" s="285"/>
    </row>
    <row r="1830" spans="1:11" x14ac:dyDescent="0.25">
      <c r="A1830" s="21">
        <f>A$8</f>
        <v>1484</v>
      </c>
      <c r="B1830" s="149">
        <f t="shared" si="1057"/>
        <v>-7.3578595317725752E-3</v>
      </c>
      <c r="C1830" s="52">
        <f t="shared" ref="C1830:C1841" si="1058">C1829+1</f>
        <v>4</v>
      </c>
      <c r="D1830" s="247">
        <f>'Appendix J-2'!S78</f>
        <v>0</v>
      </c>
      <c r="E1830" s="22">
        <f t="shared" si="1055"/>
        <v>0</v>
      </c>
      <c r="F1830" s="247">
        <f>'Appendix J-2'!U78</f>
        <v>0</v>
      </c>
      <c r="G1830" s="25" t="e">
        <f t="shared" si="1056"/>
        <v>#DIV/0!</v>
      </c>
      <c r="H1830" s="248">
        <f>'Appendix J-2'!W78</f>
        <v>0</v>
      </c>
      <c r="I1830" s="688"/>
      <c r="J1830" s="205"/>
      <c r="K1830" s="285"/>
    </row>
    <row r="1831" spans="1:11" x14ac:dyDescent="0.25">
      <c r="A1831" s="21">
        <f>A$9</f>
        <v>1528</v>
      </c>
      <c r="B1831" s="149">
        <f t="shared" si="1057"/>
        <v>2.9649595687331536E-2</v>
      </c>
      <c r="C1831" s="52">
        <f t="shared" si="1058"/>
        <v>5</v>
      </c>
      <c r="D1831" s="249">
        <f>'Appendix J-2'!X78</f>
        <v>0</v>
      </c>
      <c r="E1831" s="22">
        <f t="shared" si="1055"/>
        <v>0</v>
      </c>
      <c r="F1831" s="249">
        <f>'Appendix J-2'!Z78</f>
        <v>0</v>
      </c>
      <c r="G1831" s="25" t="e">
        <f t="shared" si="1056"/>
        <v>#DIV/0!</v>
      </c>
      <c r="H1831" s="248">
        <f>'Appendix J-2'!AB78</f>
        <v>0</v>
      </c>
      <c r="I1831" s="688"/>
      <c r="J1831" s="205"/>
      <c r="K1831" s="285"/>
    </row>
    <row r="1832" spans="1:11" x14ac:dyDescent="0.25">
      <c r="A1832" s="21">
        <f>A$10</f>
        <v>1592</v>
      </c>
      <c r="B1832" s="149">
        <f t="shared" si="1057"/>
        <v>4.1884816753926704E-2</v>
      </c>
      <c r="C1832" s="52">
        <f t="shared" si="1058"/>
        <v>6</v>
      </c>
      <c r="D1832" s="249">
        <f>'Appendix J-2'!AC78</f>
        <v>0</v>
      </c>
      <c r="E1832" s="22">
        <f t="shared" si="1055"/>
        <v>0</v>
      </c>
      <c r="F1832" s="249">
        <f>'Appendix J-2'!AE78</f>
        <v>0</v>
      </c>
      <c r="G1832" s="25" t="e">
        <f t="shared" si="1056"/>
        <v>#DIV/0!</v>
      </c>
      <c r="H1832" s="248">
        <f>'Appendix J-2'!AG78</f>
        <v>0</v>
      </c>
      <c r="I1832" s="688"/>
      <c r="J1832" s="205"/>
      <c r="K1832" s="285"/>
    </row>
    <row r="1833" spans="1:11" x14ac:dyDescent="0.25">
      <c r="A1833" s="21">
        <f>A$11</f>
        <v>1642</v>
      </c>
      <c r="B1833" s="149">
        <f t="shared" si="1057"/>
        <v>3.1407035175879394E-2</v>
      </c>
      <c r="C1833" s="20">
        <f t="shared" si="1058"/>
        <v>7</v>
      </c>
      <c r="D1833" s="249">
        <f>'Appendix J-2'!AH44</f>
        <v>0</v>
      </c>
      <c r="E1833" s="22">
        <f t="shared" si="1055"/>
        <v>0</v>
      </c>
      <c r="F1833" s="249">
        <f>'Appendix J-2'!AJ44</f>
        <v>0</v>
      </c>
      <c r="G1833" s="25" t="e">
        <f t="shared" si="1056"/>
        <v>#DIV/0!</v>
      </c>
      <c r="H1833" s="248">
        <f>'Appendix J-2'!AL44</f>
        <v>0</v>
      </c>
      <c r="I1833" s="688"/>
      <c r="J1833" s="205"/>
      <c r="K1833" s="285"/>
    </row>
    <row r="1834" spans="1:11" x14ac:dyDescent="0.25">
      <c r="A1834" s="21">
        <f>A$12</f>
        <v>1675</v>
      </c>
      <c r="B1834" s="149">
        <f t="shared" si="1057"/>
        <v>2.0097442143727162E-2</v>
      </c>
      <c r="C1834" s="20">
        <f t="shared" si="1058"/>
        <v>8</v>
      </c>
      <c r="D1834" s="249">
        <f>'Appendix J-2'!AM44</f>
        <v>0</v>
      </c>
      <c r="E1834" s="22">
        <f t="shared" si="1055"/>
        <v>0</v>
      </c>
      <c r="F1834" s="249">
        <f>'Appendix J-2'!AO44</f>
        <v>0</v>
      </c>
      <c r="G1834" s="25" t="e">
        <f t="shared" si="1056"/>
        <v>#DIV/0!</v>
      </c>
      <c r="H1834" s="248">
        <f>'Appendix J-2'!AQ44</f>
        <v>0</v>
      </c>
      <c r="I1834" s="688"/>
      <c r="J1834" s="205"/>
      <c r="K1834" s="285"/>
    </row>
    <row r="1835" spans="1:11" x14ac:dyDescent="0.25">
      <c r="A1835" s="21">
        <f>A$13</f>
        <v>1739</v>
      </c>
      <c r="B1835" s="149">
        <f t="shared" si="1057"/>
        <v>3.8208955223880597E-2</v>
      </c>
      <c r="C1835" s="20">
        <f t="shared" si="1058"/>
        <v>9</v>
      </c>
      <c r="D1835" s="249">
        <f>'Appendix J-2'!AR44</f>
        <v>0</v>
      </c>
      <c r="E1835" s="22">
        <f t="shared" si="1055"/>
        <v>0</v>
      </c>
      <c r="F1835" s="249">
        <f>'Appendix J-2'!AT44</f>
        <v>0</v>
      </c>
      <c r="G1835" s="25" t="e">
        <f t="shared" si="1056"/>
        <v>#DIV/0!</v>
      </c>
      <c r="H1835" s="248">
        <f>'Appendix J-2'!AV44</f>
        <v>0</v>
      </c>
      <c r="I1835" s="688"/>
      <c r="J1835" s="205"/>
      <c r="K1835" s="285"/>
    </row>
    <row r="1836" spans="1:11" x14ac:dyDescent="0.25">
      <c r="A1836" s="21">
        <f>A$14</f>
        <v>1752</v>
      </c>
      <c r="B1836" s="149">
        <f t="shared" si="1057"/>
        <v>7.4755606670500289E-3</v>
      </c>
      <c r="C1836" s="20">
        <f t="shared" si="1058"/>
        <v>10</v>
      </c>
      <c r="D1836" s="21">
        <f>ROUND((TREND($D$1791:$D$1799,$A$1791:$A$1799,A1836)),0)</f>
        <v>0</v>
      </c>
      <c r="E1836" s="22">
        <f>IF(TREND($E$1791:$E$1799,$A$1791:$A$1799,A1836)&lt;365,TREND($E$1791:$E$1799,$A$1791:$A$1799,A1836),365)</f>
        <v>0</v>
      </c>
      <c r="F1836" s="21">
        <f t="shared" ref="F1836:F1841" si="1059">D1836*E1836</f>
        <v>0</v>
      </c>
      <c r="G1836" s="24">
        <f>'DDS Rates for Amend'!DK17</f>
        <v>7.37</v>
      </c>
      <c r="H1836" s="33">
        <f t="shared" ref="H1836:H1841" si="1060">F1836*G1836</f>
        <v>0</v>
      </c>
      <c r="I1836" s="688"/>
      <c r="J1836" s="205"/>
      <c r="K1836" s="285"/>
    </row>
    <row r="1837" spans="1:11" x14ac:dyDescent="0.25">
      <c r="A1837" s="21">
        <f>A$15</f>
        <v>1822</v>
      </c>
      <c r="B1837" s="149">
        <f t="shared" si="1057"/>
        <v>3.9954337899543377E-2</v>
      </c>
      <c r="C1837" s="20">
        <f t="shared" si="1058"/>
        <v>11</v>
      </c>
      <c r="D1837" s="21">
        <v>64</v>
      </c>
      <c r="E1837" s="22">
        <f t="shared" ref="E1837:E1841" si="1061">IF((3*52)&lt;365,(3*52),365)</f>
        <v>156</v>
      </c>
      <c r="F1837" s="21">
        <f t="shared" si="1059"/>
        <v>9984</v>
      </c>
      <c r="G1837" s="24">
        <f>'DDS Rates for Amend'!DK18</f>
        <v>7.5616200000000005</v>
      </c>
      <c r="H1837" s="33">
        <f t="shared" si="1060"/>
        <v>75495.214080000005</v>
      </c>
      <c r="I1837" s="688"/>
      <c r="J1837" s="205"/>
      <c r="K1837" s="285"/>
    </row>
    <row r="1838" spans="1:11" x14ac:dyDescent="0.25">
      <c r="A1838" s="21">
        <f>A$16</f>
        <v>1872</v>
      </c>
      <c r="B1838" s="149">
        <f t="shared" si="1057"/>
        <v>2.7442371020856202E-2</v>
      </c>
      <c r="C1838" s="20">
        <f t="shared" si="1058"/>
        <v>12</v>
      </c>
      <c r="D1838" s="21">
        <v>65</v>
      </c>
      <c r="E1838" s="22">
        <f t="shared" si="1061"/>
        <v>156</v>
      </c>
      <c r="F1838" s="21">
        <f t="shared" si="1059"/>
        <v>10140</v>
      </c>
      <c r="G1838" s="24">
        <f>'DDS Rates for Amend'!DK19</f>
        <v>7.7582221200000001</v>
      </c>
      <c r="H1838" s="33">
        <f t="shared" si="1060"/>
        <v>78668.372296800007</v>
      </c>
      <c r="I1838" s="688"/>
      <c r="J1838" s="205"/>
      <c r="K1838" s="285"/>
    </row>
    <row r="1839" spans="1:11" x14ac:dyDescent="0.25">
      <c r="A1839" s="21">
        <f>A$17</f>
        <v>1902</v>
      </c>
      <c r="B1839" s="149">
        <f t="shared" si="1057"/>
        <v>1.6025641025641024E-2</v>
      </c>
      <c r="C1839" s="20">
        <f t="shared" si="1058"/>
        <v>13</v>
      </c>
      <c r="D1839" s="21">
        <v>67</v>
      </c>
      <c r="E1839" s="22">
        <f t="shared" si="1061"/>
        <v>156</v>
      </c>
      <c r="F1839" s="21">
        <f t="shared" si="1059"/>
        <v>10452</v>
      </c>
      <c r="G1839" s="24">
        <f>'DDS Rates for Amend'!DK20</f>
        <v>7.9599358951200001</v>
      </c>
      <c r="H1839" s="33">
        <f t="shared" si="1060"/>
        <v>83197.249975794242</v>
      </c>
      <c r="I1839" s="688"/>
      <c r="J1839" s="205"/>
      <c r="K1839" s="285"/>
    </row>
    <row r="1840" spans="1:11" x14ac:dyDescent="0.25">
      <c r="A1840" s="21">
        <f>A$18</f>
        <v>1932</v>
      </c>
      <c r="B1840" s="149">
        <f t="shared" si="1057"/>
        <v>1.5772870662460567E-2</v>
      </c>
      <c r="C1840" s="20">
        <f t="shared" si="1058"/>
        <v>14</v>
      </c>
      <c r="D1840" s="21">
        <v>69</v>
      </c>
      <c r="E1840" s="22">
        <f t="shared" si="1061"/>
        <v>156</v>
      </c>
      <c r="F1840" s="21">
        <f t="shared" si="1059"/>
        <v>10764</v>
      </c>
      <c r="G1840" s="24">
        <f>'DDS Rates for Amend'!DK21</f>
        <v>8.1668942283931205</v>
      </c>
      <c r="H1840" s="33">
        <f t="shared" si="1060"/>
        <v>87908.449474423556</v>
      </c>
      <c r="I1840" s="688"/>
      <c r="J1840" s="205"/>
      <c r="K1840" s="285"/>
    </row>
    <row r="1841" spans="1:11" x14ac:dyDescent="0.25">
      <c r="A1841" s="21">
        <f>A$19</f>
        <v>1962</v>
      </c>
      <c r="B1841" s="149">
        <f t="shared" si="1057"/>
        <v>1.5527950310559006E-2</v>
      </c>
      <c r="C1841" s="20">
        <f t="shared" si="1058"/>
        <v>15</v>
      </c>
      <c r="D1841" s="21">
        <v>71</v>
      </c>
      <c r="E1841" s="22">
        <f t="shared" si="1061"/>
        <v>156</v>
      </c>
      <c r="F1841" s="21">
        <f t="shared" si="1059"/>
        <v>11076</v>
      </c>
      <c r="G1841" s="24">
        <f>'DDS Rates for Amend'!DK22</f>
        <v>8.3792334783313418</v>
      </c>
      <c r="H1841" s="33">
        <f t="shared" si="1060"/>
        <v>92808.390005997935</v>
      </c>
      <c r="I1841" s="689"/>
      <c r="J1841" s="205"/>
      <c r="K1841" s="285">
        <f>SUM(H1827:H1841)</f>
        <v>418077.6758330157</v>
      </c>
    </row>
    <row r="1842" spans="1:11" x14ac:dyDescent="0.25">
      <c r="A1842" s="153"/>
      <c r="B1842" s="154"/>
      <c r="C1842" s="158"/>
      <c r="D1842" s="383"/>
      <c r="E1842" s="381"/>
      <c r="F1842" s="153"/>
      <c r="G1842" s="214"/>
      <c r="H1842" s="199"/>
      <c r="I1842" s="384"/>
      <c r="J1842" s="205"/>
      <c r="K1842" s="285"/>
    </row>
    <row r="1843" spans="1:11" x14ac:dyDescent="0.25">
      <c r="A1843" s="293" t="s">
        <v>548</v>
      </c>
      <c r="B1843" s="294"/>
      <c r="C1843" s="294"/>
      <c r="D1843" s="294"/>
      <c r="E1843" s="331" t="str">
        <f>'Appendix J-2'!C45</f>
        <v>1 day</v>
      </c>
      <c r="F1843" s="690"/>
      <c r="G1843" s="690"/>
      <c r="H1843" s="690"/>
      <c r="I1843" s="687" t="s">
        <v>1125</v>
      </c>
      <c r="J1843" s="205"/>
      <c r="K1843" s="285"/>
    </row>
    <row r="1844" spans="1:11" x14ac:dyDescent="0.25">
      <c r="A1844" s="147" t="s">
        <v>26</v>
      </c>
      <c r="B1844" s="147" t="s">
        <v>27</v>
      </c>
      <c r="C1844" s="51" t="s">
        <v>166</v>
      </c>
      <c r="D1844" s="91" t="s">
        <v>154</v>
      </c>
      <c r="E1844" s="89" t="s">
        <v>155</v>
      </c>
      <c r="F1844" s="34" t="s">
        <v>158</v>
      </c>
      <c r="G1844" s="35" t="s">
        <v>156</v>
      </c>
      <c r="H1844" s="51" t="s">
        <v>157</v>
      </c>
      <c r="I1844" s="688"/>
    </row>
    <row r="1845" spans="1:11" x14ac:dyDescent="0.25">
      <c r="A1845" s="21">
        <f>A$5</f>
        <v>1182</v>
      </c>
      <c r="B1845" s="148"/>
      <c r="C1845" s="144">
        <v>1</v>
      </c>
      <c r="D1845" s="210">
        <f>'linked - DO NOT USE or DELETE'!D682</f>
        <v>0</v>
      </c>
      <c r="E1845" s="22">
        <f t="shared" ref="E1845:E1853" si="1062">IF(F1845=0,0,F1845/D1845)</f>
        <v>0</v>
      </c>
      <c r="F1845" s="210">
        <f>'linked - DO NOT USE or DELETE'!F682</f>
        <v>0</v>
      </c>
      <c r="G1845" s="25" t="e">
        <f t="shared" ref="G1845:G1853" si="1063">H1845/F1845</f>
        <v>#DIV/0!</v>
      </c>
      <c r="H1845" s="211">
        <f>'linked - DO NOT USE or DELETE'!H682</f>
        <v>0</v>
      </c>
      <c r="I1845" s="688"/>
    </row>
    <row r="1846" spans="1:11" x14ac:dyDescent="0.25">
      <c r="A1846" s="21">
        <f>A$6</f>
        <v>1288</v>
      </c>
      <c r="B1846" s="149">
        <f>(A1846-A1845)/A1845</f>
        <v>8.9678510998307953E-2</v>
      </c>
      <c r="C1846" s="52">
        <v>2</v>
      </c>
      <c r="D1846" s="210">
        <f>'linked - DO NOT USE or DELETE'!I682</f>
        <v>0</v>
      </c>
      <c r="E1846" s="22">
        <f t="shared" si="1062"/>
        <v>0</v>
      </c>
      <c r="F1846" s="210">
        <f>'linked - DO NOT USE or DELETE'!K682</f>
        <v>0</v>
      </c>
      <c r="G1846" s="25" t="e">
        <f t="shared" si="1063"/>
        <v>#DIV/0!</v>
      </c>
      <c r="H1846" s="211">
        <f>'linked - DO NOT USE or DELETE'!M682</f>
        <v>0</v>
      </c>
      <c r="I1846" s="688"/>
    </row>
    <row r="1847" spans="1:11" x14ac:dyDescent="0.25">
      <c r="A1847" s="21">
        <f>A$7</f>
        <v>1495</v>
      </c>
      <c r="B1847" s="149">
        <f t="shared" ref="B1847:B1859" si="1064">(A1847-A1846)/A1846</f>
        <v>0.16071428571428573</v>
      </c>
      <c r="C1847" s="52">
        <v>3</v>
      </c>
      <c r="D1847" s="210">
        <f>'linked - DO NOT USE or DELETE'!N682</f>
        <v>0</v>
      </c>
      <c r="E1847" s="22">
        <f t="shared" si="1062"/>
        <v>0</v>
      </c>
      <c r="F1847" s="210">
        <f>'linked - DO NOT USE or DELETE'!P682</f>
        <v>0</v>
      </c>
      <c r="G1847" s="25" t="e">
        <f t="shared" si="1063"/>
        <v>#DIV/0!</v>
      </c>
      <c r="H1847" s="33">
        <f>'linked - DO NOT USE or DELETE'!R682</f>
        <v>0</v>
      </c>
      <c r="I1847" s="688"/>
    </row>
    <row r="1848" spans="1:11" x14ac:dyDescent="0.25">
      <c r="A1848" s="21">
        <f>A$8</f>
        <v>1484</v>
      </c>
      <c r="B1848" s="149">
        <f t="shared" si="1064"/>
        <v>-7.3578595317725752E-3</v>
      </c>
      <c r="C1848" s="52">
        <f t="shared" ref="C1848:C1859" si="1065">C1847+1</f>
        <v>4</v>
      </c>
      <c r="D1848" s="247">
        <f>'Appendix J-2'!S45</f>
        <v>0</v>
      </c>
      <c r="E1848" s="22">
        <f t="shared" si="1062"/>
        <v>0</v>
      </c>
      <c r="F1848" s="247">
        <f>'Appendix J-2'!U96</f>
        <v>0</v>
      </c>
      <c r="G1848" s="25" t="e">
        <f t="shared" si="1063"/>
        <v>#DIV/0!</v>
      </c>
      <c r="H1848" s="248">
        <f>'Appendix J-2'!W96</f>
        <v>0</v>
      </c>
      <c r="I1848" s="688"/>
    </row>
    <row r="1849" spans="1:11" x14ac:dyDescent="0.25">
      <c r="A1849" s="21">
        <f>A$9</f>
        <v>1528</v>
      </c>
      <c r="B1849" s="149">
        <f t="shared" si="1064"/>
        <v>2.9649595687331536E-2</v>
      </c>
      <c r="C1849" s="52">
        <f t="shared" si="1065"/>
        <v>5</v>
      </c>
      <c r="D1849" s="249">
        <f>'Appendix J-2'!X96</f>
        <v>0</v>
      </c>
      <c r="E1849" s="22">
        <f t="shared" si="1062"/>
        <v>0</v>
      </c>
      <c r="F1849" s="249">
        <f>'Appendix J-2'!Z96</f>
        <v>0</v>
      </c>
      <c r="G1849" s="25" t="e">
        <f t="shared" si="1063"/>
        <v>#DIV/0!</v>
      </c>
      <c r="H1849" s="248">
        <f>'Appendix J-2'!AB96</f>
        <v>0</v>
      </c>
      <c r="I1849" s="688"/>
    </row>
    <row r="1850" spans="1:11" x14ac:dyDescent="0.25">
      <c r="A1850" s="21">
        <f>A$10</f>
        <v>1592</v>
      </c>
      <c r="B1850" s="149">
        <f t="shared" si="1064"/>
        <v>4.1884816753926704E-2</v>
      </c>
      <c r="C1850" s="52">
        <f t="shared" si="1065"/>
        <v>6</v>
      </c>
      <c r="D1850" s="249">
        <f>'Appendix J-2'!AC96</f>
        <v>0</v>
      </c>
      <c r="E1850" s="22">
        <f t="shared" si="1062"/>
        <v>0</v>
      </c>
      <c r="F1850" s="249">
        <f>'Appendix J-2'!AE96</f>
        <v>0</v>
      </c>
      <c r="G1850" s="25" t="e">
        <f t="shared" si="1063"/>
        <v>#DIV/0!</v>
      </c>
      <c r="H1850" s="248">
        <f>'Appendix J-2'!AG96</f>
        <v>0</v>
      </c>
      <c r="I1850" s="688"/>
    </row>
    <row r="1851" spans="1:11" x14ac:dyDescent="0.25">
      <c r="A1851" s="21">
        <f>A$11</f>
        <v>1642</v>
      </c>
      <c r="B1851" s="149">
        <f t="shared" si="1064"/>
        <v>3.1407035175879394E-2</v>
      </c>
      <c r="C1851" s="20">
        <f t="shared" si="1065"/>
        <v>7</v>
      </c>
      <c r="D1851" s="249">
        <f>'Appendix J-2'!AH45</f>
        <v>0</v>
      </c>
      <c r="E1851" s="22">
        <f t="shared" si="1062"/>
        <v>0</v>
      </c>
      <c r="F1851" s="249">
        <f>'Appendix J-2'!AJ45</f>
        <v>0</v>
      </c>
      <c r="G1851" s="25" t="e">
        <f t="shared" si="1063"/>
        <v>#DIV/0!</v>
      </c>
      <c r="H1851" s="248">
        <f>'Appendix J-2'!AL45</f>
        <v>0</v>
      </c>
      <c r="I1851" s="688"/>
    </row>
    <row r="1852" spans="1:11" x14ac:dyDescent="0.25">
      <c r="A1852" s="21">
        <f>A$12</f>
        <v>1675</v>
      </c>
      <c r="B1852" s="149">
        <f t="shared" si="1064"/>
        <v>2.0097442143727162E-2</v>
      </c>
      <c r="C1852" s="20">
        <f t="shared" si="1065"/>
        <v>8</v>
      </c>
      <c r="D1852" s="249">
        <f>'Appendix J-2'!AM45</f>
        <v>0</v>
      </c>
      <c r="E1852" s="22">
        <f t="shared" si="1062"/>
        <v>0</v>
      </c>
      <c r="F1852" s="249">
        <f>'Appendix J-2'!AO45</f>
        <v>0</v>
      </c>
      <c r="G1852" s="25" t="e">
        <f t="shared" si="1063"/>
        <v>#DIV/0!</v>
      </c>
      <c r="H1852" s="248">
        <f>'Appendix J-2'!AQ45</f>
        <v>0</v>
      </c>
      <c r="I1852" s="688"/>
    </row>
    <row r="1853" spans="1:11" x14ac:dyDescent="0.25">
      <c r="A1853" s="21">
        <f>A$13</f>
        <v>1739</v>
      </c>
      <c r="B1853" s="149">
        <f t="shared" si="1064"/>
        <v>3.8208955223880597E-2</v>
      </c>
      <c r="C1853" s="20">
        <f t="shared" si="1065"/>
        <v>9</v>
      </c>
      <c r="D1853" s="249">
        <f>'Appendix J-2'!AR45</f>
        <v>0</v>
      </c>
      <c r="E1853" s="22">
        <f t="shared" si="1062"/>
        <v>0</v>
      </c>
      <c r="F1853" s="249">
        <f>'Appendix J-2'!AT45</f>
        <v>0</v>
      </c>
      <c r="G1853" s="25" t="e">
        <f t="shared" si="1063"/>
        <v>#DIV/0!</v>
      </c>
      <c r="H1853" s="248">
        <f>'Appendix J-2'!AV45</f>
        <v>0</v>
      </c>
      <c r="I1853" s="688"/>
    </row>
    <row r="1854" spans="1:11" x14ac:dyDescent="0.25">
      <c r="A1854" s="21">
        <f>A$14</f>
        <v>1752</v>
      </c>
      <c r="B1854" s="149">
        <f t="shared" si="1064"/>
        <v>7.4755606670500289E-3</v>
      </c>
      <c r="C1854" s="20">
        <f t="shared" si="1065"/>
        <v>10</v>
      </c>
      <c r="D1854" s="21">
        <f>ROUND((TREND($D$1791:$D$1799,$A$1791:$A$1799,A1854)),0)</f>
        <v>0</v>
      </c>
      <c r="E1854" s="22">
        <f>IF(TREND($E$1791:$E$1799,$A$1791:$A$1799,A1854)&lt;365,TREND($E$1791:$E$1799,$A$1791:$A$1799,A1854),365)</f>
        <v>0</v>
      </c>
      <c r="F1854" s="21">
        <f t="shared" ref="F1854:F1859" si="1066">D1854*E1854</f>
        <v>0</v>
      </c>
      <c r="G1854" s="24">
        <f>'DDS Rates for Amend'!DL17</f>
        <v>5.0599999999999996</v>
      </c>
      <c r="H1854" s="33">
        <f t="shared" ref="H1854:H1859" si="1067">F1854*G1854</f>
        <v>0</v>
      </c>
      <c r="I1854" s="688"/>
    </row>
    <row r="1855" spans="1:11" x14ac:dyDescent="0.25">
      <c r="A1855" s="21">
        <f>A$15</f>
        <v>1822</v>
      </c>
      <c r="B1855" s="149">
        <f t="shared" si="1064"/>
        <v>3.9954337899543377E-2</v>
      </c>
      <c r="C1855" s="20">
        <f t="shared" si="1065"/>
        <v>11</v>
      </c>
      <c r="D1855" s="21">
        <v>102</v>
      </c>
      <c r="E1855" s="22">
        <f t="shared" ref="E1855:E1859" si="1068">IF((3*52)&lt;365,(3*52),365)</f>
        <v>156</v>
      </c>
      <c r="F1855" s="21">
        <f t="shared" si="1066"/>
        <v>15912</v>
      </c>
      <c r="G1855" s="24">
        <f>'DDS Rates for Amend'!DL18</f>
        <v>5.19156</v>
      </c>
      <c r="H1855" s="33">
        <f t="shared" si="1067"/>
        <v>82608.102719999995</v>
      </c>
      <c r="I1855" s="688"/>
    </row>
    <row r="1856" spans="1:11" x14ac:dyDescent="0.25">
      <c r="A1856" s="21">
        <f>A$16</f>
        <v>1872</v>
      </c>
      <c r="B1856" s="149">
        <f t="shared" si="1064"/>
        <v>2.7442371020856202E-2</v>
      </c>
      <c r="C1856" s="20">
        <f t="shared" si="1065"/>
        <v>12</v>
      </c>
      <c r="D1856" s="21">
        <v>105</v>
      </c>
      <c r="E1856" s="22">
        <f t="shared" si="1068"/>
        <v>156</v>
      </c>
      <c r="F1856" s="21">
        <f t="shared" si="1066"/>
        <v>16380</v>
      </c>
      <c r="G1856" s="24">
        <f>'DDS Rates for Amend'!DL19</f>
        <v>5.3265405599999998</v>
      </c>
      <c r="H1856" s="33">
        <f t="shared" si="1067"/>
        <v>87248.734372799998</v>
      </c>
      <c r="I1856" s="688"/>
    </row>
    <row r="1857" spans="1:11" x14ac:dyDescent="0.25">
      <c r="A1857" s="21">
        <f>A$17</f>
        <v>1902</v>
      </c>
      <c r="B1857" s="149">
        <f t="shared" si="1064"/>
        <v>1.6025641025641024E-2</v>
      </c>
      <c r="C1857" s="20">
        <f t="shared" si="1065"/>
        <v>13</v>
      </c>
      <c r="D1857" s="21">
        <v>108</v>
      </c>
      <c r="E1857" s="22">
        <f t="shared" si="1068"/>
        <v>156</v>
      </c>
      <c r="F1857" s="21">
        <f t="shared" si="1066"/>
        <v>16848</v>
      </c>
      <c r="G1857" s="24">
        <f>'DDS Rates for Amend'!DL20</f>
        <v>5.4650306145599998</v>
      </c>
      <c r="H1857" s="33">
        <f t="shared" si="1067"/>
        <v>92074.835794106883</v>
      </c>
      <c r="I1857" s="688"/>
    </row>
    <row r="1858" spans="1:11" x14ac:dyDescent="0.25">
      <c r="A1858" s="21">
        <f>A$18</f>
        <v>1932</v>
      </c>
      <c r="B1858" s="149">
        <f t="shared" si="1064"/>
        <v>1.5772870662460567E-2</v>
      </c>
      <c r="C1858" s="20">
        <f t="shared" si="1065"/>
        <v>14</v>
      </c>
      <c r="D1858" s="21">
        <v>111</v>
      </c>
      <c r="E1858" s="22">
        <f t="shared" si="1068"/>
        <v>156</v>
      </c>
      <c r="F1858" s="21">
        <f t="shared" si="1066"/>
        <v>17316</v>
      </c>
      <c r="G1858" s="24">
        <f>'DDS Rates for Amend'!DL21</f>
        <v>5.6071214105385598</v>
      </c>
      <c r="H1858" s="33">
        <f t="shared" si="1067"/>
        <v>97092.914344885707</v>
      </c>
      <c r="I1858" s="688"/>
    </row>
    <row r="1859" spans="1:11" x14ac:dyDescent="0.25">
      <c r="A1859" s="21">
        <f>A$19</f>
        <v>1962</v>
      </c>
      <c r="B1859" s="149">
        <f t="shared" si="1064"/>
        <v>1.5527950310559006E-2</v>
      </c>
      <c r="C1859" s="20">
        <f t="shared" si="1065"/>
        <v>15</v>
      </c>
      <c r="D1859" s="21">
        <v>114</v>
      </c>
      <c r="E1859" s="22">
        <f t="shared" si="1068"/>
        <v>156</v>
      </c>
      <c r="F1859" s="21">
        <f t="shared" si="1066"/>
        <v>17784</v>
      </c>
      <c r="G1859" s="24">
        <f>'DDS Rates for Amend'!DL22</f>
        <v>5.7529065672125625</v>
      </c>
      <c r="H1859" s="33">
        <f t="shared" si="1067"/>
        <v>102309.69039130821</v>
      </c>
      <c r="I1859" s="689"/>
      <c r="K1859" s="285">
        <f>SUM(H1845:H1859)</f>
        <v>461334.27762310085</v>
      </c>
    </row>
    <row r="1861" spans="1:11" x14ac:dyDescent="0.25">
      <c r="A1861" s="295" t="s">
        <v>6</v>
      </c>
      <c r="B1861" s="296"/>
      <c r="C1861" s="296"/>
      <c r="D1861" s="296"/>
      <c r="E1861" s="297" t="str">
        <f>'Appendix J-2'!C98</f>
        <v>1 day</v>
      </c>
      <c r="F1861" s="690"/>
      <c r="G1861" s="690"/>
      <c r="H1861" s="690"/>
      <c r="I1861" s="687" t="s">
        <v>1124</v>
      </c>
      <c r="J1861" s="205"/>
    </row>
    <row r="1862" spans="1:11" x14ac:dyDescent="0.25">
      <c r="A1862" s="147" t="s">
        <v>26</v>
      </c>
      <c r="B1862" s="147" t="s">
        <v>27</v>
      </c>
      <c r="C1862" s="51" t="s">
        <v>166</v>
      </c>
      <c r="D1862" s="91" t="s">
        <v>154</v>
      </c>
      <c r="E1862" s="89" t="s">
        <v>155</v>
      </c>
      <c r="F1862" s="34" t="s">
        <v>158</v>
      </c>
      <c r="G1862" s="35" t="s">
        <v>156</v>
      </c>
      <c r="H1862" s="51" t="s">
        <v>157</v>
      </c>
      <c r="I1862" s="688"/>
      <c r="J1862" s="205"/>
    </row>
    <row r="1863" spans="1:11" x14ac:dyDescent="0.25">
      <c r="A1863" s="21">
        <f>A$5</f>
        <v>1182</v>
      </c>
      <c r="B1863" s="148"/>
      <c r="C1863" s="144">
        <v>1</v>
      </c>
      <c r="D1863" s="210">
        <f>'linked - DO NOT USE or DELETE'!D641</f>
        <v>0</v>
      </c>
      <c r="E1863" s="22">
        <f t="shared" ref="E1863:E1871" si="1069">IF(F1863=0,0,F1863/D1863)</f>
        <v>0</v>
      </c>
      <c r="F1863" s="210">
        <f>'linked - DO NOT USE or DELETE'!F641</f>
        <v>0</v>
      </c>
      <c r="G1863" s="25" t="e">
        <f t="shared" ref="G1863:G1871" si="1070">H1863/F1863</f>
        <v>#DIV/0!</v>
      </c>
      <c r="H1863" s="211">
        <f>'linked - DO NOT USE or DELETE'!H641</f>
        <v>0</v>
      </c>
      <c r="I1863" s="688"/>
      <c r="J1863" s="205"/>
    </row>
    <row r="1864" spans="1:11" x14ac:dyDescent="0.25">
      <c r="A1864" s="21">
        <f>A$6</f>
        <v>1288</v>
      </c>
      <c r="B1864" s="149">
        <f>(A1864-A1863)/A1863</f>
        <v>8.9678510998307953E-2</v>
      </c>
      <c r="C1864" s="52">
        <v>2</v>
      </c>
      <c r="D1864" s="210">
        <f>'linked - DO NOT USE or DELETE'!I641</f>
        <v>0</v>
      </c>
      <c r="E1864" s="22">
        <f t="shared" si="1069"/>
        <v>0</v>
      </c>
      <c r="F1864" s="210">
        <f>'linked - DO NOT USE or DELETE'!K641</f>
        <v>0</v>
      </c>
      <c r="G1864" s="25" t="e">
        <f t="shared" si="1070"/>
        <v>#DIV/0!</v>
      </c>
      <c r="H1864" s="211">
        <f>'linked - DO NOT USE or DELETE'!M641</f>
        <v>0</v>
      </c>
      <c r="I1864" s="688"/>
      <c r="J1864" s="205"/>
    </row>
    <row r="1865" spans="1:11" x14ac:dyDescent="0.25">
      <c r="A1865" s="21">
        <f>A$7</f>
        <v>1495</v>
      </c>
      <c r="B1865" s="149">
        <f t="shared" ref="B1865:B1877" si="1071">(A1865-A1864)/A1864</f>
        <v>0.16071428571428573</v>
      </c>
      <c r="C1865" s="52">
        <v>3</v>
      </c>
      <c r="D1865" s="210">
        <f>'linked - DO NOT USE or DELETE'!N641</f>
        <v>0</v>
      </c>
      <c r="E1865" s="22">
        <f t="shared" si="1069"/>
        <v>0</v>
      </c>
      <c r="F1865" s="210">
        <f>'linked - DO NOT USE or DELETE'!P641</f>
        <v>0</v>
      </c>
      <c r="G1865" s="25" t="e">
        <f t="shared" si="1070"/>
        <v>#DIV/0!</v>
      </c>
      <c r="H1865" s="33">
        <f>'linked - DO NOT USE or DELETE'!R641</f>
        <v>0</v>
      </c>
      <c r="I1865" s="688"/>
      <c r="J1865" s="205"/>
    </row>
    <row r="1866" spans="1:11" x14ac:dyDescent="0.25">
      <c r="A1866" s="21">
        <f>A$8</f>
        <v>1484</v>
      </c>
      <c r="B1866" s="149">
        <f t="shared" si="1071"/>
        <v>-7.3578595317725752E-3</v>
      </c>
      <c r="C1866" s="52">
        <f t="shared" ref="C1866:C1877" si="1072">C1865+1</f>
        <v>4</v>
      </c>
      <c r="D1866" s="247">
        <f>'Appendix J-2'!S98</f>
        <v>0</v>
      </c>
      <c r="E1866" s="22">
        <f t="shared" si="1069"/>
        <v>0</v>
      </c>
      <c r="F1866" s="247">
        <f>'Appendix J-2'!U98</f>
        <v>0</v>
      </c>
      <c r="G1866" s="25" t="e">
        <f t="shared" si="1070"/>
        <v>#DIV/0!</v>
      </c>
      <c r="H1866" s="248">
        <f>'Appendix J-2'!W98</f>
        <v>0</v>
      </c>
      <c r="I1866" s="688"/>
      <c r="J1866" s="205"/>
    </row>
    <row r="1867" spans="1:11" x14ac:dyDescent="0.25">
      <c r="A1867" s="21">
        <f>A$9</f>
        <v>1528</v>
      </c>
      <c r="B1867" s="149">
        <f t="shared" si="1071"/>
        <v>2.9649595687331536E-2</v>
      </c>
      <c r="C1867" s="52">
        <f t="shared" si="1072"/>
        <v>5</v>
      </c>
      <c r="D1867" s="249">
        <f>'Appendix J-2'!X98</f>
        <v>0</v>
      </c>
      <c r="E1867" s="22">
        <f t="shared" si="1069"/>
        <v>0</v>
      </c>
      <c r="F1867" s="249">
        <f>'Appendix J-2'!Z98</f>
        <v>0</v>
      </c>
      <c r="G1867" s="25" t="e">
        <f t="shared" si="1070"/>
        <v>#DIV/0!</v>
      </c>
      <c r="H1867" s="248">
        <f>'Appendix J-2'!AB98</f>
        <v>0</v>
      </c>
      <c r="I1867" s="688"/>
      <c r="J1867" s="205"/>
    </row>
    <row r="1868" spans="1:11" x14ac:dyDescent="0.25">
      <c r="A1868" s="21">
        <f>A$10</f>
        <v>1592</v>
      </c>
      <c r="B1868" s="149">
        <f t="shared" si="1071"/>
        <v>4.1884816753926704E-2</v>
      </c>
      <c r="C1868" s="52">
        <f t="shared" si="1072"/>
        <v>6</v>
      </c>
      <c r="D1868" s="249">
        <f>'Appendix J-2'!AC98</f>
        <v>0</v>
      </c>
      <c r="E1868" s="22">
        <f t="shared" si="1069"/>
        <v>0</v>
      </c>
      <c r="F1868" s="249">
        <f>'Appendix J-2'!AE98</f>
        <v>0</v>
      </c>
      <c r="G1868" s="25" t="e">
        <f t="shared" si="1070"/>
        <v>#DIV/0!</v>
      </c>
      <c r="H1868" s="248">
        <f>'Appendix J-2'!AG98</f>
        <v>0</v>
      </c>
      <c r="I1868" s="688"/>
      <c r="J1868" s="205"/>
    </row>
    <row r="1869" spans="1:11" x14ac:dyDescent="0.25">
      <c r="A1869" s="21">
        <f>A$11</f>
        <v>1642</v>
      </c>
      <c r="B1869" s="149">
        <f t="shared" si="1071"/>
        <v>3.1407035175879394E-2</v>
      </c>
      <c r="C1869" s="20">
        <f t="shared" si="1072"/>
        <v>7</v>
      </c>
      <c r="D1869" s="249">
        <f>'Appendix J-2'!AH98</f>
        <v>0</v>
      </c>
      <c r="E1869" s="22">
        <f t="shared" si="1069"/>
        <v>0</v>
      </c>
      <c r="F1869" s="249">
        <f>'Appendix J-2'!AJ98</f>
        <v>0</v>
      </c>
      <c r="G1869" s="25" t="e">
        <f t="shared" si="1070"/>
        <v>#DIV/0!</v>
      </c>
      <c r="H1869" s="248">
        <f>'Appendix J-2'!AL98</f>
        <v>0</v>
      </c>
      <c r="I1869" s="688"/>
      <c r="J1869" s="205"/>
    </row>
    <row r="1870" spans="1:11" x14ac:dyDescent="0.25">
      <c r="A1870" s="21">
        <f>A$12</f>
        <v>1675</v>
      </c>
      <c r="B1870" s="149">
        <f t="shared" si="1071"/>
        <v>2.0097442143727162E-2</v>
      </c>
      <c r="C1870" s="20">
        <f t="shared" si="1072"/>
        <v>8</v>
      </c>
      <c r="D1870" s="249">
        <f>'Appendix J-2'!AM98</f>
        <v>0</v>
      </c>
      <c r="E1870" s="22">
        <f t="shared" si="1069"/>
        <v>0</v>
      </c>
      <c r="F1870" s="249">
        <f>'Appendix J-2'!AO98</f>
        <v>0</v>
      </c>
      <c r="G1870" s="25" t="e">
        <f t="shared" si="1070"/>
        <v>#DIV/0!</v>
      </c>
      <c r="H1870" s="248">
        <f>'Appendix J-2'!AQ98</f>
        <v>0</v>
      </c>
      <c r="I1870" s="688"/>
      <c r="J1870" s="205"/>
    </row>
    <row r="1871" spans="1:11" x14ac:dyDescent="0.25">
      <c r="A1871" s="21">
        <f>A$13</f>
        <v>1739</v>
      </c>
      <c r="B1871" s="149">
        <f t="shared" si="1071"/>
        <v>3.8208955223880597E-2</v>
      </c>
      <c r="C1871" s="20">
        <f t="shared" si="1072"/>
        <v>9</v>
      </c>
      <c r="D1871" s="249">
        <f>'Appendix J-2'!AR98</f>
        <v>0</v>
      </c>
      <c r="E1871" s="22">
        <f t="shared" si="1069"/>
        <v>0</v>
      </c>
      <c r="F1871" s="249">
        <f>'Appendix J-2'!AT98</f>
        <v>0</v>
      </c>
      <c r="G1871" s="25" t="e">
        <f t="shared" si="1070"/>
        <v>#DIV/0!</v>
      </c>
      <c r="H1871" s="248">
        <f>'Appendix J-2'!AV98</f>
        <v>0</v>
      </c>
      <c r="I1871" s="688"/>
      <c r="J1871" s="205"/>
    </row>
    <row r="1872" spans="1:11" x14ac:dyDescent="0.25">
      <c r="A1872" s="21">
        <f>A$14</f>
        <v>1752</v>
      </c>
      <c r="B1872" s="149">
        <f t="shared" si="1071"/>
        <v>7.4755606670500289E-3</v>
      </c>
      <c r="C1872" s="20">
        <f t="shared" si="1072"/>
        <v>10</v>
      </c>
      <c r="D1872" s="21">
        <f>ROUND((TREND($D$1863:$D$1871,$A$1863:$A$1871,A1872)),0)</f>
        <v>0</v>
      </c>
      <c r="E1872" s="22">
        <f>IF(TREND($E$1863:$E$1871,$A$1863:$A$1871,A1872)&lt;365,TREND($E$1863:$E$1871,$A$1863:$A$1871,A1872),365)</f>
        <v>0</v>
      </c>
      <c r="F1872" s="21">
        <f t="shared" ref="F1872" si="1073">D1872*E1872</f>
        <v>0</v>
      </c>
      <c r="G1872" s="24">
        <f>'DDS Rates for Amend'!CO17</f>
        <v>7.37</v>
      </c>
      <c r="H1872" s="33">
        <f t="shared" ref="H1872" si="1074">F1872*G1872</f>
        <v>0</v>
      </c>
      <c r="I1872" s="688"/>
      <c r="J1872" s="205"/>
    </row>
    <row r="1873" spans="1:11" x14ac:dyDescent="0.25">
      <c r="A1873" s="21">
        <f>A$15</f>
        <v>1822</v>
      </c>
      <c r="B1873" s="149">
        <f t="shared" si="1071"/>
        <v>3.9954337899543377E-2</v>
      </c>
      <c r="C1873" s="20">
        <f t="shared" si="1072"/>
        <v>11</v>
      </c>
      <c r="D1873" s="21">
        <v>24</v>
      </c>
      <c r="E1873" s="22">
        <f t="shared" ref="E1873" si="1075">IF((3*52)&lt;365,(3*52),365)</f>
        <v>156</v>
      </c>
      <c r="F1873" s="21">
        <f t="shared" ref="F1873:F1877" si="1076">D1873*E1873</f>
        <v>3744</v>
      </c>
      <c r="G1873" s="24">
        <f>'DDS Rates for Amend'!CO18</f>
        <v>7.5616200000000005</v>
      </c>
      <c r="H1873" s="33">
        <f t="shared" ref="H1873:H1877" si="1077">F1873*G1873</f>
        <v>28310.705280000002</v>
      </c>
      <c r="I1873" s="688"/>
      <c r="J1873" s="205"/>
    </row>
    <row r="1874" spans="1:11" x14ac:dyDescent="0.25">
      <c r="A1874" s="21">
        <f>A$16</f>
        <v>1872</v>
      </c>
      <c r="B1874" s="149">
        <f t="shared" si="1071"/>
        <v>2.7442371020856202E-2</v>
      </c>
      <c r="C1874" s="20">
        <f t="shared" si="1072"/>
        <v>12</v>
      </c>
      <c r="D1874" s="21">
        <v>25</v>
      </c>
      <c r="E1874" s="22">
        <f>IF((3*52)&lt;365,(3*52),365)</f>
        <v>156</v>
      </c>
      <c r="F1874" s="21">
        <f t="shared" si="1076"/>
        <v>3900</v>
      </c>
      <c r="G1874" s="24">
        <f>'DDS Rates for Amend'!CO19</f>
        <v>7.7582221200000001</v>
      </c>
      <c r="H1874" s="33">
        <f t="shared" si="1077"/>
        <v>30257.066267999999</v>
      </c>
      <c r="I1874" s="688"/>
      <c r="J1874" s="205"/>
    </row>
    <row r="1875" spans="1:11" x14ac:dyDescent="0.25">
      <c r="A1875" s="21">
        <f>A$17</f>
        <v>1902</v>
      </c>
      <c r="B1875" s="149">
        <f t="shared" si="1071"/>
        <v>1.6025641025641024E-2</v>
      </c>
      <c r="C1875" s="20">
        <f t="shared" si="1072"/>
        <v>13</v>
      </c>
      <c r="D1875" s="21">
        <v>25</v>
      </c>
      <c r="E1875" s="22">
        <f t="shared" ref="E1875:E1877" si="1078">IF((3*52)&lt;365,(3*52),365)</f>
        <v>156</v>
      </c>
      <c r="F1875" s="21">
        <f t="shared" si="1076"/>
        <v>3900</v>
      </c>
      <c r="G1875" s="24">
        <f>'DDS Rates for Amend'!CO20</f>
        <v>7.9599358951200001</v>
      </c>
      <c r="H1875" s="33">
        <f t="shared" si="1077"/>
        <v>31043.749990968001</v>
      </c>
      <c r="I1875" s="688"/>
      <c r="J1875" s="205"/>
    </row>
    <row r="1876" spans="1:11" x14ac:dyDescent="0.25">
      <c r="A1876" s="21">
        <f>A$18</f>
        <v>1932</v>
      </c>
      <c r="B1876" s="149">
        <f t="shared" si="1071"/>
        <v>1.5772870662460567E-2</v>
      </c>
      <c r="C1876" s="20">
        <f t="shared" si="1072"/>
        <v>14</v>
      </c>
      <c r="D1876" s="21">
        <v>26</v>
      </c>
      <c r="E1876" s="22">
        <f t="shared" si="1078"/>
        <v>156</v>
      </c>
      <c r="F1876" s="21">
        <f t="shared" si="1076"/>
        <v>4056</v>
      </c>
      <c r="G1876" s="24">
        <f>'DDS Rates for Amend'!CO21</f>
        <v>8.1668942283931205</v>
      </c>
      <c r="H1876" s="33">
        <f t="shared" si="1077"/>
        <v>33124.922990362495</v>
      </c>
      <c r="I1876" s="688"/>
      <c r="J1876" s="205"/>
    </row>
    <row r="1877" spans="1:11" x14ac:dyDescent="0.25">
      <c r="A1877" s="21">
        <f>A$19</f>
        <v>1962</v>
      </c>
      <c r="B1877" s="149">
        <f t="shared" si="1071"/>
        <v>1.5527950310559006E-2</v>
      </c>
      <c r="C1877" s="20">
        <f t="shared" si="1072"/>
        <v>15</v>
      </c>
      <c r="D1877" s="21">
        <v>27</v>
      </c>
      <c r="E1877" s="22">
        <f t="shared" si="1078"/>
        <v>156</v>
      </c>
      <c r="F1877" s="21">
        <f t="shared" si="1076"/>
        <v>4212</v>
      </c>
      <c r="G1877" s="24">
        <f>'DDS Rates for Amend'!CO22</f>
        <v>8.3792334783313418</v>
      </c>
      <c r="H1877" s="33">
        <f t="shared" si="1077"/>
        <v>35293.331410731611</v>
      </c>
      <c r="I1877" s="689"/>
      <c r="J1877" s="205"/>
      <c r="K1877" s="285">
        <f>SUM(H1863:H1877)</f>
        <v>158029.77594006213</v>
      </c>
    </row>
    <row r="1879" spans="1:11" x14ac:dyDescent="0.25">
      <c r="A1879" s="272" t="s">
        <v>265</v>
      </c>
      <c r="B1879" s="272"/>
      <c r="C1879" s="272"/>
      <c r="D1879" s="273"/>
      <c r="E1879" s="404" t="str">
        <f>'Appendix J-2'!C104</f>
        <v>item</v>
      </c>
      <c r="F1879" s="690"/>
      <c r="G1879" s="690"/>
      <c r="H1879" s="690"/>
      <c r="I1879" s="687" t="s">
        <v>1123</v>
      </c>
      <c r="J1879" s="208"/>
    </row>
    <row r="1880" spans="1:11" x14ac:dyDescent="0.25">
      <c r="A1880" s="147" t="s">
        <v>26</v>
      </c>
      <c r="B1880" s="147" t="s">
        <v>27</v>
      </c>
      <c r="C1880" s="51" t="s">
        <v>166</v>
      </c>
      <c r="D1880" s="91" t="s">
        <v>154</v>
      </c>
      <c r="E1880" s="89" t="s">
        <v>155</v>
      </c>
      <c r="F1880" s="34" t="s">
        <v>158</v>
      </c>
      <c r="G1880" s="35" t="s">
        <v>156</v>
      </c>
      <c r="H1880" s="51" t="s">
        <v>157</v>
      </c>
      <c r="I1880" s="688"/>
      <c r="J1880" s="208"/>
    </row>
    <row r="1881" spans="1:11" x14ac:dyDescent="0.25">
      <c r="A1881" s="21">
        <f>A$5</f>
        <v>1182</v>
      </c>
      <c r="B1881" s="148"/>
      <c r="C1881" s="144">
        <v>1</v>
      </c>
      <c r="D1881" s="219"/>
      <c r="E1881" s="22"/>
      <c r="F1881" s="210"/>
      <c r="G1881" s="24"/>
      <c r="H1881" s="211"/>
      <c r="I1881" s="688"/>
      <c r="J1881" s="208"/>
    </row>
    <row r="1882" spans="1:11" x14ac:dyDescent="0.25">
      <c r="A1882" s="21">
        <f>A$6</f>
        <v>1288</v>
      </c>
      <c r="B1882" s="149">
        <f>(A1882-A1881)/A1881</f>
        <v>8.9678510998307953E-2</v>
      </c>
      <c r="C1882" s="52">
        <v>2</v>
      </c>
      <c r="D1882" s="219"/>
      <c r="E1882" s="22"/>
      <c r="F1882" s="210"/>
      <c r="G1882" s="24"/>
      <c r="H1882" s="211"/>
      <c r="I1882" s="688"/>
      <c r="J1882" s="208"/>
    </row>
    <row r="1883" spans="1:11" x14ac:dyDescent="0.25">
      <c r="A1883" s="21">
        <f>A$7</f>
        <v>1495</v>
      </c>
      <c r="B1883" s="149">
        <f t="shared" ref="B1883:B1895" si="1079">(A1883-A1882)/A1882</f>
        <v>0.16071428571428573</v>
      </c>
      <c r="C1883" s="52">
        <v>3</v>
      </c>
      <c r="D1883" s="219"/>
      <c r="E1883" s="22"/>
      <c r="F1883" s="210"/>
      <c r="G1883" s="24"/>
      <c r="H1883" s="33"/>
      <c r="I1883" s="688"/>
      <c r="J1883" s="208"/>
    </row>
    <row r="1884" spans="1:11" x14ac:dyDescent="0.25">
      <c r="A1884" s="21">
        <f>A$8</f>
        <v>1484</v>
      </c>
      <c r="B1884" s="149">
        <f t="shared" si="1079"/>
        <v>-7.3578595317725752E-3</v>
      </c>
      <c r="C1884" s="52">
        <f>C1883+1</f>
        <v>4</v>
      </c>
      <c r="D1884" s="219"/>
      <c r="E1884" s="22"/>
      <c r="F1884" s="210"/>
      <c r="G1884" s="24"/>
      <c r="H1884" s="33"/>
      <c r="I1884" s="688"/>
      <c r="J1884" s="208"/>
    </row>
    <row r="1885" spans="1:11" x14ac:dyDescent="0.25">
      <c r="A1885" s="21">
        <f>A$9</f>
        <v>1528</v>
      </c>
      <c r="B1885" s="149">
        <f t="shared" si="1079"/>
        <v>2.9649595687331536E-2</v>
      </c>
      <c r="C1885" s="52">
        <f t="shared" ref="C1885:C1895" si="1080">C1884+1</f>
        <v>5</v>
      </c>
      <c r="D1885" s="219"/>
      <c r="E1885" s="22"/>
      <c r="F1885" s="210"/>
      <c r="G1885" s="24"/>
      <c r="H1885" s="33"/>
      <c r="I1885" s="688"/>
      <c r="J1885" s="208"/>
    </row>
    <row r="1886" spans="1:11" x14ac:dyDescent="0.25">
      <c r="A1886" s="21">
        <f>A$10</f>
        <v>1592</v>
      </c>
      <c r="B1886" s="149">
        <f t="shared" si="1079"/>
        <v>4.1884816753926704E-2</v>
      </c>
      <c r="C1886" s="20">
        <f t="shared" si="1080"/>
        <v>6</v>
      </c>
      <c r="D1886" s="21"/>
      <c r="E1886" s="22"/>
      <c r="F1886" s="21"/>
      <c r="G1886" s="24"/>
      <c r="H1886" s="33"/>
      <c r="I1886" s="688"/>
      <c r="J1886" s="208"/>
    </row>
    <row r="1887" spans="1:11" x14ac:dyDescent="0.25">
      <c r="A1887" s="21">
        <f>A$11</f>
        <v>1642</v>
      </c>
      <c r="B1887" s="149">
        <f t="shared" si="1079"/>
        <v>3.1407035175879394E-2</v>
      </c>
      <c r="C1887" s="20">
        <f t="shared" si="1080"/>
        <v>7</v>
      </c>
      <c r="D1887" s="21"/>
      <c r="E1887" s="22"/>
      <c r="F1887" s="21"/>
      <c r="G1887" s="24"/>
      <c r="H1887" s="33"/>
      <c r="I1887" s="688"/>
      <c r="J1887" s="208"/>
    </row>
    <row r="1888" spans="1:11" x14ac:dyDescent="0.25">
      <c r="A1888" s="21">
        <f>A$12</f>
        <v>1675</v>
      </c>
      <c r="B1888" s="149">
        <f t="shared" si="1079"/>
        <v>2.0097442143727162E-2</v>
      </c>
      <c r="C1888" s="20">
        <f t="shared" si="1080"/>
        <v>8</v>
      </c>
      <c r="D1888" s="21"/>
      <c r="E1888" s="22"/>
      <c r="F1888" s="21"/>
      <c r="G1888" s="24"/>
      <c r="H1888" s="33"/>
      <c r="I1888" s="688"/>
      <c r="J1888" s="208"/>
    </row>
    <row r="1889" spans="1:11" x14ac:dyDescent="0.25">
      <c r="A1889" s="21">
        <f>A$13</f>
        <v>1739</v>
      </c>
      <c r="B1889" s="149">
        <f t="shared" si="1079"/>
        <v>3.8208955223880597E-2</v>
      </c>
      <c r="C1889" s="20">
        <f t="shared" si="1080"/>
        <v>9</v>
      </c>
      <c r="D1889" s="21"/>
      <c r="E1889" s="22"/>
      <c r="F1889" s="21"/>
      <c r="G1889" s="24"/>
      <c r="H1889" s="33"/>
      <c r="I1889" s="688"/>
      <c r="J1889" s="208"/>
    </row>
    <row r="1890" spans="1:11" x14ac:dyDescent="0.25">
      <c r="A1890" s="21">
        <f>A$14</f>
        <v>1752</v>
      </c>
      <c r="B1890" s="149">
        <f t="shared" si="1079"/>
        <v>7.4755606670500289E-3</v>
      </c>
      <c r="C1890" s="20">
        <f t="shared" si="1080"/>
        <v>10</v>
      </c>
      <c r="D1890" s="21"/>
      <c r="E1890" s="22"/>
      <c r="F1890" s="26"/>
      <c r="G1890" s="25"/>
      <c r="H1890" s="145"/>
      <c r="I1890" s="688"/>
      <c r="J1890" s="208"/>
    </row>
    <row r="1891" spans="1:11" x14ac:dyDescent="0.25">
      <c r="A1891" s="21">
        <f>A$15</f>
        <v>1822</v>
      </c>
      <c r="B1891" s="149">
        <f t="shared" si="1079"/>
        <v>3.9954337899543377E-2</v>
      </c>
      <c r="C1891" s="20">
        <f t="shared" si="1080"/>
        <v>11</v>
      </c>
      <c r="D1891" s="21">
        <v>100</v>
      </c>
      <c r="E1891" s="23">
        <v>1</v>
      </c>
      <c r="F1891" s="21">
        <f t="shared" ref="F1891:F1895" si="1081">D1891*E1891</f>
        <v>100</v>
      </c>
      <c r="G1891" s="25">
        <f>'DDS Rates for Amend'!CX18</f>
        <v>2000</v>
      </c>
      <c r="H1891" s="33">
        <f t="shared" ref="H1891:H1895" si="1082">F1891*G1891</f>
        <v>200000</v>
      </c>
      <c r="I1891" s="688"/>
      <c r="J1891" s="208"/>
    </row>
    <row r="1892" spans="1:11" x14ac:dyDescent="0.25">
      <c r="A1892" s="21">
        <f>A$16</f>
        <v>1872</v>
      </c>
      <c r="B1892" s="149">
        <f t="shared" si="1079"/>
        <v>2.7442371020856202E-2</v>
      </c>
      <c r="C1892" s="20">
        <f t="shared" si="1080"/>
        <v>12</v>
      </c>
      <c r="D1892" s="21">
        <v>170</v>
      </c>
      <c r="E1892" s="23">
        <v>1</v>
      </c>
      <c r="F1892" s="21">
        <f t="shared" si="1081"/>
        <v>170</v>
      </c>
      <c r="G1892" s="25">
        <f>'DDS Rates for Amend'!CX19</f>
        <v>2000</v>
      </c>
      <c r="H1892" s="33">
        <f t="shared" si="1082"/>
        <v>340000</v>
      </c>
      <c r="I1892" s="688"/>
      <c r="J1892" s="208"/>
    </row>
    <row r="1893" spans="1:11" x14ac:dyDescent="0.25">
      <c r="A1893" s="21">
        <f>A$17</f>
        <v>1902</v>
      </c>
      <c r="B1893" s="149">
        <f t="shared" si="1079"/>
        <v>1.6025641025641024E-2</v>
      </c>
      <c r="C1893" s="20">
        <f t="shared" si="1080"/>
        <v>13</v>
      </c>
      <c r="D1893" s="21">
        <v>250</v>
      </c>
      <c r="E1893" s="23">
        <v>1</v>
      </c>
      <c r="F1893" s="21">
        <f t="shared" si="1081"/>
        <v>250</v>
      </c>
      <c r="G1893" s="25">
        <f>'DDS Rates for Amend'!CX20</f>
        <v>2000</v>
      </c>
      <c r="H1893" s="33">
        <f t="shared" si="1082"/>
        <v>500000</v>
      </c>
      <c r="I1893" s="688"/>
      <c r="J1893" s="208"/>
    </row>
    <row r="1894" spans="1:11" x14ac:dyDescent="0.25">
      <c r="A1894" s="21">
        <f>A$18</f>
        <v>1932</v>
      </c>
      <c r="B1894" s="149">
        <f t="shared" si="1079"/>
        <v>1.5772870662460567E-2</v>
      </c>
      <c r="C1894" s="20">
        <f t="shared" si="1080"/>
        <v>14</v>
      </c>
      <c r="D1894" s="21">
        <v>300</v>
      </c>
      <c r="E1894" s="23">
        <v>1</v>
      </c>
      <c r="F1894" s="21">
        <f t="shared" si="1081"/>
        <v>300</v>
      </c>
      <c r="G1894" s="25">
        <f>'DDS Rates for Amend'!CX21</f>
        <v>2000</v>
      </c>
      <c r="H1894" s="33">
        <f t="shared" si="1082"/>
        <v>600000</v>
      </c>
      <c r="I1894" s="688"/>
      <c r="J1894" s="208"/>
    </row>
    <row r="1895" spans="1:11" x14ac:dyDescent="0.25">
      <c r="A1895" s="21">
        <f>A$19</f>
        <v>1962</v>
      </c>
      <c r="B1895" s="149">
        <f t="shared" si="1079"/>
        <v>1.5527950310559006E-2</v>
      </c>
      <c r="C1895" s="20">
        <f t="shared" si="1080"/>
        <v>15</v>
      </c>
      <c r="D1895" s="21">
        <v>350</v>
      </c>
      <c r="E1895" s="23">
        <v>1</v>
      </c>
      <c r="F1895" s="21">
        <f t="shared" si="1081"/>
        <v>350</v>
      </c>
      <c r="G1895" s="25">
        <f>'DDS Rates for Amend'!CX22</f>
        <v>2000</v>
      </c>
      <c r="H1895" s="33">
        <f t="shared" si="1082"/>
        <v>700000</v>
      </c>
      <c r="I1895" s="689"/>
      <c r="J1895" s="208"/>
      <c r="K1895" s="285">
        <f>SUM(H1881:H1895)</f>
        <v>2340000</v>
      </c>
    </row>
    <row r="1897" spans="1:11" x14ac:dyDescent="0.25">
      <c r="A1897" s="332" t="s">
        <v>266</v>
      </c>
      <c r="B1897" s="332"/>
      <c r="C1897" s="332"/>
      <c r="D1897" s="338"/>
      <c r="E1897" s="334"/>
      <c r="F1897" s="703"/>
      <c r="G1897" s="703"/>
      <c r="H1897" s="703"/>
      <c r="I1897" s="705" t="s">
        <v>1074</v>
      </c>
      <c r="J1897" s="209"/>
    </row>
    <row r="1898" spans="1:11" x14ac:dyDescent="0.25">
      <c r="A1898" s="340" t="s">
        <v>26</v>
      </c>
      <c r="B1898" s="340" t="s">
        <v>27</v>
      </c>
      <c r="C1898" s="323" t="s">
        <v>166</v>
      </c>
      <c r="D1898" s="341" t="s">
        <v>154</v>
      </c>
      <c r="E1898" s="342" t="s">
        <v>155</v>
      </c>
      <c r="F1898" s="343" t="s">
        <v>158</v>
      </c>
      <c r="G1898" s="323" t="s">
        <v>156</v>
      </c>
      <c r="H1898" s="323" t="s">
        <v>157</v>
      </c>
      <c r="I1898" s="706"/>
      <c r="J1898" s="208"/>
    </row>
    <row r="1899" spans="1:11" ht="15" customHeight="1" x14ac:dyDescent="0.25">
      <c r="A1899" s="344">
        <f>A$5</f>
        <v>1182</v>
      </c>
      <c r="B1899" s="344"/>
      <c r="C1899" s="345">
        <v>1</v>
      </c>
      <c r="D1899" s="346"/>
      <c r="E1899" s="347"/>
      <c r="F1899" s="346"/>
      <c r="G1899" s="348"/>
      <c r="H1899" s="349"/>
      <c r="I1899" s="706"/>
      <c r="J1899" s="208"/>
    </row>
    <row r="1900" spans="1:11" x14ac:dyDescent="0.25">
      <c r="A1900" s="344">
        <f>A$6</f>
        <v>1288</v>
      </c>
      <c r="B1900" s="350">
        <f>(A1900-A1899)/A1899</f>
        <v>8.9678510998307953E-2</v>
      </c>
      <c r="C1900" s="351">
        <v>2</v>
      </c>
      <c r="D1900" s="346"/>
      <c r="E1900" s="347"/>
      <c r="F1900" s="346"/>
      <c r="G1900" s="348"/>
      <c r="H1900" s="349"/>
      <c r="I1900" s="706"/>
      <c r="J1900" s="208"/>
    </row>
    <row r="1901" spans="1:11" x14ac:dyDescent="0.25">
      <c r="A1901" s="344">
        <f>A$7</f>
        <v>1495</v>
      </c>
      <c r="B1901" s="350">
        <f t="shared" ref="B1901:B1913" si="1083">(A1901-A1900)/A1900</f>
        <v>0.16071428571428573</v>
      </c>
      <c r="C1901" s="351">
        <v>3</v>
      </c>
      <c r="D1901" s="346"/>
      <c r="E1901" s="347"/>
      <c r="F1901" s="346"/>
      <c r="G1901" s="348"/>
      <c r="H1901" s="352"/>
      <c r="I1901" s="706"/>
      <c r="J1901" s="208"/>
    </row>
    <row r="1902" spans="1:11" x14ac:dyDescent="0.25">
      <c r="A1902" s="344">
        <f>A$8</f>
        <v>1484</v>
      </c>
      <c r="B1902" s="350">
        <f t="shared" si="1083"/>
        <v>-7.3578595317725752E-3</v>
      </c>
      <c r="C1902" s="351">
        <f>C1901+1</f>
        <v>4</v>
      </c>
      <c r="D1902" s="346"/>
      <c r="E1902" s="347"/>
      <c r="F1902" s="346"/>
      <c r="G1902" s="348"/>
      <c r="H1902" s="352"/>
      <c r="I1902" s="706"/>
      <c r="J1902" s="208"/>
    </row>
    <row r="1903" spans="1:11" x14ac:dyDescent="0.25">
      <c r="A1903" s="344">
        <f>A$9</f>
        <v>1528</v>
      </c>
      <c r="B1903" s="350">
        <f t="shared" si="1083"/>
        <v>2.9649595687331536E-2</v>
      </c>
      <c r="C1903" s="351">
        <f t="shared" ref="C1903:C1913" si="1084">C1902+1</f>
        <v>5</v>
      </c>
      <c r="D1903" s="346"/>
      <c r="E1903" s="347"/>
      <c r="F1903" s="346"/>
      <c r="G1903" s="348"/>
      <c r="H1903" s="352"/>
      <c r="I1903" s="706"/>
      <c r="J1903" s="208"/>
    </row>
    <row r="1904" spans="1:11" x14ac:dyDescent="0.25">
      <c r="A1904" s="344">
        <f>A$10</f>
        <v>1592</v>
      </c>
      <c r="B1904" s="350">
        <f t="shared" si="1083"/>
        <v>4.1884816753926704E-2</v>
      </c>
      <c r="C1904" s="351">
        <f t="shared" si="1084"/>
        <v>6</v>
      </c>
      <c r="D1904" s="344"/>
      <c r="E1904" s="347"/>
      <c r="F1904" s="344"/>
      <c r="G1904" s="348"/>
      <c r="H1904" s="352"/>
      <c r="I1904" s="706"/>
      <c r="J1904" s="208"/>
    </row>
    <row r="1905" spans="1:11" x14ac:dyDescent="0.25">
      <c r="A1905" s="344">
        <f>A$11</f>
        <v>1642</v>
      </c>
      <c r="B1905" s="350">
        <f t="shared" si="1083"/>
        <v>3.1407035175879394E-2</v>
      </c>
      <c r="C1905" s="351">
        <f t="shared" si="1084"/>
        <v>7</v>
      </c>
      <c r="D1905" s="344"/>
      <c r="E1905" s="347"/>
      <c r="F1905" s="344"/>
      <c r="G1905" s="348"/>
      <c r="H1905" s="352"/>
      <c r="I1905" s="706"/>
      <c r="J1905" s="208"/>
    </row>
    <row r="1906" spans="1:11" x14ac:dyDescent="0.25">
      <c r="A1906" s="344">
        <f>A$12</f>
        <v>1675</v>
      </c>
      <c r="B1906" s="350">
        <f t="shared" si="1083"/>
        <v>2.0097442143727162E-2</v>
      </c>
      <c r="C1906" s="351">
        <f t="shared" si="1084"/>
        <v>8</v>
      </c>
      <c r="D1906" s="344"/>
      <c r="E1906" s="347"/>
      <c r="F1906" s="344"/>
      <c r="G1906" s="348"/>
      <c r="H1906" s="352"/>
      <c r="I1906" s="706"/>
      <c r="J1906" s="208"/>
    </row>
    <row r="1907" spans="1:11" x14ac:dyDescent="0.25">
      <c r="A1907" s="344">
        <f>A$13</f>
        <v>1739</v>
      </c>
      <c r="B1907" s="350">
        <f t="shared" si="1083"/>
        <v>3.8208955223880597E-2</v>
      </c>
      <c r="C1907" s="351">
        <f t="shared" si="1084"/>
        <v>9</v>
      </c>
      <c r="D1907" s="344"/>
      <c r="E1907" s="347"/>
      <c r="F1907" s="344"/>
      <c r="G1907" s="348"/>
      <c r="H1907" s="352"/>
      <c r="I1907" s="706"/>
      <c r="J1907" s="208"/>
    </row>
    <row r="1908" spans="1:11" x14ac:dyDescent="0.25">
      <c r="A1908" s="344">
        <f>A$14</f>
        <v>1752</v>
      </c>
      <c r="B1908" s="350">
        <f t="shared" si="1083"/>
        <v>7.4755606670500289E-3</v>
      </c>
      <c r="C1908" s="351">
        <f t="shared" si="1084"/>
        <v>10</v>
      </c>
      <c r="D1908" s="344"/>
      <c r="E1908" s="347"/>
      <c r="F1908" s="344"/>
      <c r="G1908" s="348"/>
      <c r="H1908" s="352"/>
      <c r="I1908" s="706"/>
      <c r="J1908" s="208"/>
    </row>
    <row r="1909" spans="1:11" x14ac:dyDescent="0.25">
      <c r="A1909" s="344">
        <f>A$15</f>
        <v>1822</v>
      </c>
      <c r="B1909" s="350">
        <f t="shared" si="1083"/>
        <v>3.9954337899543377E-2</v>
      </c>
      <c r="C1909" s="351">
        <f t="shared" si="1084"/>
        <v>11</v>
      </c>
      <c r="D1909" s="344"/>
      <c r="E1909" s="347"/>
      <c r="F1909" s="344">
        <f t="shared" ref="F1909:F1913" si="1085">D1909*E1909</f>
        <v>0</v>
      </c>
      <c r="G1909" s="348">
        <f>'DDS Rates for Amend'!CY18</f>
        <v>0</v>
      </c>
      <c r="H1909" s="352">
        <f t="shared" ref="H1909:H1913" si="1086">F1909*G1909</f>
        <v>0</v>
      </c>
      <c r="I1909" s="706"/>
      <c r="J1909" s="208"/>
    </row>
    <row r="1910" spans="1:11" x14ac:dyDescent="0.25">
      <c r="A1910" s="344">
        <f>A$16</f>
        <v>1872</v>
      </c>
      <c r="B1910" s="350">
        <f t="shared" si="1083"/>
        <v>2.7442371020856202E-2</v>
      </c>
      <c r="C1910" s="351">
        <f t="shared" si="1084"/>
        <v>12</v>
      </c>
      <c r="D1910" s="344"/>
      <c r="E1910" s="347"/>
      <c r="F1910" s="344">
        <f t="shared" si="1085"/>
        <v>0</v>
      </c>
      <c r="G1910" s="348">
        <f>'DDS Rates for Amend'!CY19</f>
        <v>0</v>
      </c>
      <c r="H1910" s="352">
        <f t="shared" si="1086"/>
        <v>0</v>
      </c>
      <c r="I1910" s="706"/>
      <c r="J1910" s="208"/>
    </row>
    <row r="1911" spans="1:11" x14ac:dyDescent="0.25">
      <c r="A1911" s="344">
        <f>A$17</f>
        <v>1902</v>
      </c>
      <c r="B1911" s="350">
        <f t="shared" si="1083"/>
        <v>1.6025641025641024E-2</v>
      </c>
      <c r="C1911" s="351">
        <f t="shared" si="1084"/>
        <v>13</v>
      </c>
      <c r="D1911" s="344"/>
      <c r="E1911" s="347"/>
      <c r="F1911" s="344">
        <f t="shared" si="1085"/>
        <v>0</v>
      </c>
      <c r="G1911" s="348">
        <f>'DDS Rates for Amend'!CY20</f>
        <v>0</v>
      </c>
      <c r="H1911" s="352">
        <f t="shared" si="1086"/>
        <v>0</v>
      </c>
      <c r="I1911" s="706"/>
      <c r="J1911" s="208"/>
    </row>
    <row r="1912" spans="1:11" x14ac:dyDescent="0.25">
      <c r="A1912" s="344">
        <f>A$18</f>
        <v>1932</v>
      </c>
      <c r="B1912" s="350">
        <f t="shared" si="1083"/>
        <v>1.5772870662460567E-2</v>
      </c>
      <c r="C1912" s="351">
        <f t="shared" si="1084"/>
        <v>14</v>
      </c>
      <c r="D1912" s="344"/>
      <c r="E1912" s="347"/>
      <c r="F1912" s="344">
        <f t="shared" si="1085"/>
        <v>0</v>
      </c>
      <c r="G1912" s="348">
        <f>'DDS Rates for Amend'!CY21</f>
        <v>0</v>
      </c>
      <c r="H1912" s="352">
        <f t="shared" si="1086"/>
        <v>0</v>
      </c>
      <c r="I1912" s="706"/>
      <c r="J1912" s="208"/>
    </row>
    <row r="1913" spans="1:11" x14ac:dyDescent="0.25">
      <c r="A1913" s="344">
        <f>A$19</f>
        <v>1962</v>
      </c>
      <c r="B1913" s="350">
        <f t="shared" si="1083"/>
        <v>1.5527950310559006E-2</v>
      </c>
      <c r="C1913" s="351">
        <f t="shared" si="1084"/>
        <v>15</v>
      </c>
      <c r="D1913" s="344"/>
      <c r="E1913" s="347"/>
      <c r="F1913" s="344">
        <f t="shared" si="1085"/>
        <v>0</v>
      </c>
      <c r="G1913" s="348">
        <f>'DDS Rates for Amend'!CY22</f>
        <v>0</v>
      </c>
      <c r="H1913" s="352">
        <f t="shared" si="1086"/>
        <v>0</v>
      </c>
      <c r="I1913" s="707"/>
      <c r="J1913" s="208"/>
      <c r="K1913" s="285">
        <f>SUM(H1899:H1913)</f>
        <v>0</v>
      </c>
    </row>
    <row r="1915" spans="1:11" ht="15" customHeight="1" x14ac:dyDescent="0.25">
      <c r="A1915" s="272" t="s">
        <v>1039</v>
      </c>
      <c r="B1915" s="272"/>
      <c r="C1915" s="272"/>
      <c r="D1915" s="273" t="str">
        <f>'Appendix J-2'!B106</f>
        <v>Visit</v>
      </c>
      <c r="E1915" s="223" t="str">
        <f>'Appendix J-2'!C106</f>
        <v>15 minutes</v>
      </c>
      <c r="F1915" s="690"/>
      <c r="G1915" s="690"/>
      <c r="H1915" s="690"/>
      <c r="I1915" s="687" t="s">
        <v>1122</v>
      </c>
      <c r="J1915" s="209"/>
    </row>
    <row r="1916" spans="1:11" x14ac:dyDescent="0.25">
      <c r="A1916" s="147" t="s">
        <v>26</v>
      </c>
      <c r="B1916" s="147" t="s">
        <v>27</v>
      </c>
      <c r="C1916" s="51" t="s">
        <v>166</v>
      </c>
      <c r="D1916" s="91" t="s">
        <v>154</v>
      </c>
      <c r="E1916" s="89" t="s">
        <v>155</v>
      </c>
      <c r="F1916" s="34" t="s">
        <v>158</v>
      </c>
      <c r="G1916" s="35" t="s">
        <v>156</v>
      </c>
      <c r="H1916" s="51" t="s">
        <v>157</v>
      </c>
      <c r="I1916" s="688"/>
      <c r="J1916" s="208"/>
    </row>
    <row r="1917" spans="1:11" ht="15" customHeight="1" x14ac:dyDescent="0.25">
      <c r="A1917" s="21">
        <f>A$5</f>
        <v>1182</v>
      </c>
      <c r="B1917" s="148"/>
      <c r="C1917" s="144">
        <v>1</v>
      </c>
      <c r="D1917" s="210"/>
      <c r="E1917" s="22"/>
      <c r="F1917" s="210"/>
      <c r="G1917" s="24"/>
      <c r="H1917" s="211"/>
      <c r="I1917" s="688"/>
      <c r="J1917" s="208"/>
    </row>
    <row r="1918" spans="1:11" x14ac:dyDescent="0.25">
      <c r="A1918" s="21">
        <f>A$6</f>
        <v>1288</v>
      </c>
      <c r="B1918" s="149">
        <f>(A1918-A1917)/A1917</f>
        <v>8.9678510998307953E-2</v>
      </c>
      <c r="C1918" s="52">
        <v>2</v>
      </c>
      <c r="D1918" s="210"/>
      <c r="E1918" s="22"/>
      <c r="F1918" s="210"/>
      <c r="G1918" s="24"/>
      <c r="H1918" s="211"/>
      <c r="I1918" s="688"/>
      <c r="J1918" s="208"/>
    </row>
    <row r="1919" spans="1:11" x14ac:dyDescent="0.25">
      <c r="A1919" s="21">
        <f>A$7</f>
        <v>1495</v>
      </c>
      <c r="B1919" s="149">
        <f t="shared" ref="B1919:B1931" si="1087">(A1919-A1918)/A1918</f>
        <v>0.16071428571428573</v>
      </c>
      <c r="C1919" s="52">
        <v>3</v>
      </c>
      <c r="D1919" s="210"/>
      <c r="E1919" s="22"/>
      <c r="F1919" s="210"/>
      <c r="G1919" s="24"/>
      <c r="H1919" s="33"/>
      <c r="I1919" s="688"/>
      <c r="J1919" s="208"/>
    </row>
    <row r="1920" spans="1:11" x14ac:dyDescent="0.25">
      <c r="A1920" s="21">
        <f>A$8</f>
        <v>1484</v>
      </c>
      <c r="B1920" s="149">
        <f t="shared" si="1087"/>
        <v>-7.3578595317725752E-3</v>
      </c>
      <c r="C1920" s="52">
        <f>C1919+1</f>
        <v>4</v>
      </c>
      <c r="D1920" s="210"/>
      <c r="E1920" s="22"/>
      <c r="F1920" s="210"/>
      <c r="G1920" s="24"/>
      <c r="H1920" s="33"/>
      <c r="I1920" s="688"/>
      <c r="J1920" s="208"/>
    </row>
    <row r="1921" spans="1:11" x14ac:dyDescent="0.25">
      <c r="A1921" s="21">
        <f>A$9</f>
        <v>1528</v>
      </c>
      <c r="B1921" s="149">
        <f t="shared" si="1087"/>
        <v>2.9649595687331536E-2</v>
      </c>
      <c r="C1921" s="52">
        <f t="shared" ref="C1921:C1931" si="1088">C1920+1</f>
        <v>5</v>
      </c>
      <c r="D1921" s="210"/>
      <c r="E1921" s="22"/>
      <c r="F1921" s="210"/>
      <c r="G1921" s="24"/>
      <c r="H1921" s="33"/>
      <c r="I1921" s="688"/>
      <c r="J1921" s="208"/>
    </row>
    <row r="1922" spans="1:11" x14ac:dyDescent="0.25">
      <c r="A1922" s="21">
        <f>A$10</f>
        <v>1592</v>
      </c>
      <c r="B1922" s="149">
        <f t="shared" si="1087"/>
        <v>4.1884816753926704E-2</v>
      </c>
      <c r="C1922" s="20">
        <f t="shared" si="1088"/>
        <v>6</v>
      </c>
      <c r="D1922" s="21"/>
      <c r="E1922" s="22"/>
      <c r="F1922" s="21"/>
      <c r="G1922" s="24"/>
      <c r="H1922" s="33"/>
      <c r="I1922" s="688"/>
      <c r="J1922" s="208"/>
    </row>
    <row r="1923" spans="1:11" x14ac:dyDescent="0.25">
      <c r="A1923" s="21">
        <f>A$11</f>
        <v>1642</v>
      </c>
      <c r="B1923" s="149">
        <f t="shared" si="1087"/>
        <v>3.1407035175879394E-2</v>
      </c>
      <c r="C1923" s="20">
        <f t="shared" si="1088"/>
        <v>7</v>
      </c>
      <c r="D1923" s="21"/>
      <c r="E1923" s="22"/>
      <c r="F1923" s="21"/>
      <c r="G1923" s="24"/>
      <c r="H1923" s="33"/>
      <c r="I1923" s="688"/>
      <c r="J1923" s="208"/>
    </row>
    <row r="1924" spans="1:11" x14ac:dyDescent="0.25">
      <c r="A1924" s="21">
        <f>A$12</f>
        <v>1675</v>
      </c>
      <c r="B1924" s="149">
        <f t="shared" si="1087"/>
        <v>2.0097442143727162E-2</v>
      </c>
      <c r="C1924" s="20">
        <f t="shared" si="1088"/>
        <v>8</v>
      </c>
      <c r="D1924" s="21"/>
      <c r="E1924" s="22"/>
      <c r="F1924" s="21"/>
      <c r="G1924" s="24"/>
      <c r="H1924" s="33"/>
      <c r="I1924" s="688"/>
      <c r="J1924" s="208"/>
    </row>
    <row r="1925" spans="1:11" x14ac:dyDescent="0.25">
      <c r="A1925" s="21">
        <f>A$13</f>
        <v>1739</v>
      </c>
      <c r="B1925" s="149">
        <f t="shared" si="1087"/>
        <v>3.8208955223880597E-2</v>
      </c>
      <c r="C1925" s="20">
        <f t="shared" si="1088"/>
        <v>9</v>
      </c>
      <c r="D1925" s="21"/>
      <c r="E1925" s="22"/>
      <c r="F1925" s="21"/>
      <c r="G1925" s="24"/>
      <c r="H1925" s="33"/>
      <c r="I1925" s="688"/>
      <c r="J1925" s="208"/>
    </row>
    <row r="1926" spans="1:11" x14ac:dyDescent="0.25">
      <c r="A1926" s="21">
        <f>A$14</f>
        <v>1752</v>
      </c>
      <c r="B1926" s="149">
        <f t="shared" si="1087"/>
        <v>7.4755606670500289E-3</v>
      </c>
      <c r="C1926" s="20">
        <f t="shared" si="1088"/>
        <v>10</v>
      </c>
      <c r="D1926" s="21"/>
      <c r="E1926" s="22"/>
      <c r="F1926" s="26"/>
      <c r="G1926" s="25"/>
      <c r="H1926" s="145"/>
      <c r="I1926" s="688"/>
      <c r="J1926" s="208"/>
    </row>
    <row r="1927" spans="1:11" x14ac:dyDescent="0.25">
      <c r="A1927" s="21">
        <f>A$15</f>
        <v>1822</v>
      </c>
      <c r="B1927" s="149">
        <f t="shared" si="1087"/>
        <v>3.9954337899543377E-2</v>
      </c>
      <c r="C1927" s="20">
        <f t="shared" si="1088"/>
        <v>11</v>
      </c>
      <c r="D1927" s="21">
        <v>50</v>
      </c>
      <c r="E1927" s="23">
        <f>(1.62+1.37)/2</f>
        <v>1.4950000000000001</v>
      </c>
      <c r="F1927" s="21">
        <f t="shared" ref="F1927:F1931" si="1089">D1927*E1927</f>
        <v>74.75</v>
      </c>
      <c r="G1927" s="277">
        <f>'DDS Rates for Amend'!CZ18</f>
        <v>11.54</v>
      </c>
      <c r="H1927" s="33">
        <f t="shared" ref="H1927:H1931" si="1090">F1927*G1927</f>
        <v>862.6149999999999</v>
      </c>
      <c r="I1927" s="688"/>
      <c r="J1927" s="208"/>
    </row>
    <row r="1928" spans="1:11" x14ac:dyDescent="0.25">
      <c r="A1928" s="21">
        <f>A$16</f>
        <v>1872</v>
      </c>
      <c r="B1928" s="149">
        <f t="shared" si="1087"/>
        <v>2.7442371020856202E-2</v>
      </c>
      <c r="C1928" s="20">
        <f t="shared" si="1088"/>
        <v>12</v>
      </c>
      <c r="D1928" s="21">
        <v>55</v>
      </c>
      <c r="E1928" s="23">
        <f t="shared" ref="E1928:E1931" si="1091">(1.62+1.37)/2</f>
        <v>1.4950000000000001</v>
      </c>
      <c r="F1928" s="21">
        <f t="shared" si="1089"/>
        <v>82.225000000000009</v>
      </c>
      <c r="G1928" s="277">
        <f>'DDS Rates for Amend'!CZ19</f>
        <v>11.840039999999998</v>
      </c>
      <c r="H1928" s="33">
        <f t="shared" si="1090"/>
        <v>973.54728899999998</v>
      </c>
      <c r="I1928" s="688"/>
      <c r="J1928" s="208"/>
    </row>
    <row r="1929" spans="1:11" x14ac:dyDescent="0.25">
      <c r="A1929" s="21">
        <f>A$17</f>
        <v>1902</v>
      </c>
      <c r="B1929" s="149">
        <f t="shared" si="1087"/>
        <v>1.6025641025641024E-2</v>
      </c>
      <c r="C1929" s="20">
        <f t="shared" si="1088"/>
        <v>13</v>
      </c>
      <c r="D1929" s="21">
        <v>60</v>
      </c>
      <c r="E1929" s="23">
        <f t="shared" si="1091"/>
        <v>1.4950000000000001</v>
      </c>
      <c r="F1929" s="21">
        <f t="shared" si="1089"/>
        <v>89.7</v>
      </c>
      <c r="G1929" s="277">
        <f>'DDS Rates for Amend'!CZ20</f>
        <v>12.147881039999998</v>
      </c>
      <c r="H1929" s="33">
        <f t="shared" si="1090"/>
        <v>1089.6649292879999</v>
      </c>
      <c r="I1929" s="688"/>
      <c r="J1929" s="208"/>
    </row>
    <row r="1930" spans="1:11" x14ac:dyDescent="0.25">
      <c r="A1930" s="21">
        <f>A$18</f>
        <v>1932</v>
      </c>
      <c r="B1930" s="149">
        <f t="shared" si="1087"/>
        <v>1.5772870662460567E-2</v>
      </c>
      <c r="C1930" s="20">
        <f t="shared" si="1088"/>
        <v>14</v>
      </c>
      <c r="D1930" s="21">
        <v>65</v>
      </c>
      <c r="E1930" s="23">
        <f t="shared" si="1091"/>
        <v>1.4950000000000001</v>
      </c>
      <c r="F1930" s="21">
        <f t="shared" si="1089"/>
        <v>97.175000000000011</v>
      </c>
      <c r="G1930" s="277">
        <f>'DDS Rates for Amend'!CZ21</f>
        <v>12.463725947039999</v>
      </c>
      <c r="H1930" s="33">
        <f t="shared" si="1090"/>
        <v>1211.1625689036121</v>
      </c>
      <c r="I1930" s="688"/>
      <c r="J1930" s="208"/>
    </row>
    <row r="1931" spans="1:11" x14ac:dyDescent="0.25">
      <c r="A1931" s="21">
        <f>A$19</f>
        <v>1962</v>
      </c>
      <c r="B1931" s="149">
        <f t="shared" si="1087"/>
        <v>1.5527950310559006E-2</v>
      </c>
      <c r="C1931" s="20">
        <f t="shared" si="1088"/>
        <v>15</v>
      </c>
      <c r="D1931" s="21">
        <v>70</v>
      </c>
      <c r="E1931" s="23">
        <f t="shared" si="1091"/>
        <v>1.4950000000000001</v>
      </c>
      <c r="F1931" s="21">
        <f t="shared" si="1089"/>
        <v>104.65</v>
      </c>
      <c r="G1931" s="277">
        <f>'DDS Rates for Amend'!CZ22</f>
        <v>12.787782821663038</v>
      </c>
      <c r="H1931" s="33">
        <f t="shared" si="1090"/>
        <v>1338.2414722870369</v>
      </c>
      <c r="I1931" s="689"/>
      <c r="J1931" s="208"/>
      <c r="K1931" s="285">
        <f>SUM(H1917:H1931)</f>
        <v>5475.231259478649</v>
      </c>
    </row>
    <row r="1933" spans="1:11" x14ac:dyDescent="0.25">
      <c r="A1933" s="272" t="s">
        <v>1057</v>
      </c>
      <c r="B1933" s="272"/>
      <c r="C1933" s="272"/>
      <c r="D1933" s="593" t="str">
        <f>'Appendix J-2'!B107</f>
        <v>Visit</v>
      </c>
      <c r="E1933" s="223" t="str">
        <f>'Appendix J-2'!C107</f>
        <v>15 minutes</v>
      </c>
      <c r="F1933" s="690"/>
      <c r="G1933" s="690"/>
      <c r="H1933" s="690"/>
      <c r="I1933" s="687" t="s">
        <v>1121</v>
      </c>
    </row>
    <row r="1934" spans="1:11" x14ac:dyDescent="0.25">
      <c r="A1934" s="147" t="s">
        <v>26</v>
      </c>
      <c r="B1934" s="147" t="s">
        <v>27</v>
      </c>
      <c r="C1934" s="51" t="s">
        <v>166</v>
      </c>
      <c r="D1934" s="91" t="s">
        <v>154</v>
      </c>
      <c r="E1934" s="89" t="s">
        <v>155</v>
      </c>
      <c r="F1934" s="34" t="s">
        <v>158</v>
      </c>
      <c r="G1934" s="35" t="s">
        <v>156</v>
      </c>
      <c r="H1934" s="51" t="s">
        <v>157</v>
      </c>
      <c r="I1934" s="688"/>
    </row>
    <row r="1935" spans="1:11" x14ac:dyDescent="0.25">
      <c r="A1935" s="21">
        <f>A$5</f>
        <v>1182</v>
      </c>
      <c r="B1935" s="148"/>
      <c r="C1935" s="144">
        <v>1</v>
      </c>
      <c r="D1935" s="210"/>
      <c r="E1935" s="22"/>
      <c r="F1935" s="210"/>
      <c r="G1935" s="24"/>
      <c r="H1935" s="211"/>
      <c r="I1935" s="688"/>
    </row>
    <row r="1936" spans="1:11" x14ac:dyDescent="0.25">
      <c r="A1936" s="21">
        <f>A$6</f>
        <v>1288</v>
      </c>
      <c r="B1936" s="149">
        <f>(A1936-A1935)/A1935</f>
        <v>8.9678510998307953E-2</v>
      </c>
      <c r="C1936" s="52">
        <v>2</v>
      </c>
      <c r="D1936" s="210"/>
      <c r="E1936" s="22"/>
      <c r="F1936" s="210"/>
      <c r="G1936" s="24"/>
      <c r="H1936" s="211"/>
      <c r="I1936" s="688"/>
    </row>
    <row r="1937" spans="1:11" x14ac:dyDescent="0.25">
      <c r="A1937" s="21">
        <f>A$7</f>
        <v>1495</v>
      </c>
      <c r="B1937" s="149">
        <f t="shared" ref="B1937:B1949" si="1092">(A1937-A1936)/A1936</f>
        <v>0.16071428571428573</v>
      </c>
      <c r="C1937" s="52">
        <v>3</v>
      </c>
      <c r="D1937" s="210"/>
      <c r="E1937" s="22"/>
      <c r="F1937" s="210"/>
      <c r="G1937" s="24"/>
      <c r="H1937" s="33"/>
      <c r="I1937" s="688"/>
    </row>
    <row r="1938" spans="1:11" x14ac:dyDescent="0.25">
      <c r="A1938" s="21">
        <f>A$8</f>
        <v>1484</v>
      </c>
      <c r="B1938" s="149">
        <f t="shared" si="1092"/>
        <v>-7.3578595317725752E-3</v>
      </c>
      <c r="C1938" s="52">
        <f>C1937+1</f>
        <v>4</v>
      </c>
      <c r="D1938" s="210"/>
      <c r="E1938" s="22"/>
      <c r="F1938" s="210"/>
      <c r="G1938" s="24"/>
      <c r="H1938" s="33"/>
      <c r="I1938" s="688"/>
    </row>
    <row r="1939" spans="1:11" x14ac:dyDescent="0.25">
      <c r="A1939" s="21">
        <f>A$9</f>
        <v>1528</v>
      </c>
      <c r="B1939" s="149">
        <f t="shared" si="1092"/>
        <v>2.9649595687331536E-2</v>
      </c>
      <c r="C1939" s="52">
        <f t="shared" ref="C1939:C1949" si="1093">C1938+1</f>
        <v>5</v>
      </c>
      <c r="D1939" s="210"/>
      <c r="E1939" s="22"/>
      <c r="F1939" s="210"/>
      <c r="G1939" s="24"/>
      <c r="H1939" s="33"/>
      <c r="I1939" s="688"/>
    </row>
    <row r="1940" spans="1:11" x14ac:dyDescent="0.25">
      <c r="A1940" s="21">
        <f>A$10</f>
        <v>1592</v>
      </c>
      <c r="B1940" s="149">
        <f t="shared" si="1092"/>
        <v>4.1884816753926704E-2</v>
      </c>
      <c r="C1940" s="20">
        <f t="shared" si="1093"/>
        <v>6</v>
      </c>
      <c r="D1940" s="21"/>
      <c r="E1940" s="22"/>
      <c r="F1940" s="21"/>
      <c r="G1940" s="24"/>
      <c r="H1940" s="33"/>
      <c r="I1940" s="688"/>
    </row>
    <row r="1941" spans="1:11" x14ac:dyDescent="0.25">
      <c r="A1941" s="21">
        <f>A$11</f>
        <v>1642</v>
      </c>
      <c r="B1941" s="149">
        <f t="shared" si="1092"/>
        <v>3.1407035175879394E-2</v>
      </c>
      <c r="C1941" s="20">
        <f t="shared" si="1093"/>
        <v>7</v>
      </c>
      <c r="D1941" s="21"/>
      <c r="E1941" s="22"/>
      <c r="F1941" s="21"/>
      <c r="G1941" s="24"/>
      <c r="H1941" s="33"/>
      <c r="I1941" s="688"/>
    </row>
    <row r="1942" spans="1:11" x14ac:dyDescent="0.25">
      <c r="A1942" s="21">
        <f>A$12</f>
        <v>1675</v>
      </c>
      <c r="B1942" s="149">
        <f t="shared" si="1092"/>
        <v>2.0097442143727162E-2</v>
      </c>
      <c r="C1942" s="20">
        <f t="shared" si="1093"/>
        <v>8</v>
      </c>
      <c r="D1942" s="21"/>
      <c r="E1942" s="22"/>
      <c r="F1942" s="21"/>
      <c r="G1942" s="24"/>
      <c r="H1942" s="33"/>
      <c r="I1942" s="688"/>
    </row>
    <row r="1943" spans="1:11" x14ac:dyDescent="0.25">
      <c r="A1943" s="21">
        <f>A$13</f>
        <v>1739</v>
      </c>
      <c r="B1943" s="149">
        <f t="shared" si="1092"/>
        <v>3.8208955223880597E-2</v>
      </c>
      <c r="C1943" s="20">
        <f t="shared" si="1093"/>
        <v>9</v>
      </c>
      <c r="D1943" s="21"/>
      <c r="E1943" s="22"/>
      <c r="F1943" s="21"/>
      <c r="G1943" s="24"/>
      <c r="H1943" s="33"/>
      <c r="I1943" s="688"/>
    </row>
    <row r="1944" spans="1:11" x14ac:dyDescent="0.25">
      <c r="A1944" s="21">
        <f>A$14</f>
        <v>1752</v>
      </c>
      <c r="B1944" s="149">
        <f t="shared" si="1092"/>
        <v>7.4755606670500289E-3</v>
      </c>
      <c r="C1944" s="20">
        <f t="shared" si="1093"/>
        <v>10</v>
      </c>
      <c r="D1944" s="21"/>
      <c r="E1944" s="22"/>
      <c r="F1944" s="26"/>
      <c r="G1944" s="25"/>
      <c r="H1944" s="145"/>
      <c r="I1944" s="688"/>
    </row>
    <row r="1945" spans="1:11" x14ac:dyDescent="0.25">
      <c r="A1945" s="21">
        <f>A$15</f>
        <v>1822</v>
      </c>
      <c r="B1945" s="149">
        <f t="shared" si="1092"/>
        <v>3.9954337899543377E-2</v>
      </c>
      <c r="C1945" s="20">
        <f t="shared" si="1093"/>
        <v>11</v>
      </c>
      <c r="D1945" s="21">
        <v>12</v>
      </c>
      <c r="E1945" s="23">
        <f>(1.62+1.37)/2</f>
        <v>1.4950000000000001</v>
      </c>
      <c r="F1945" s="21">
        <f t="shared" ref="F1945:F1949" si="1094">D1945*E1945</f>
        <v>17.940000000000001</v>
      </c>
      <c r="G1945" s="277">
        <f>'DDS Rates for Amend'!DA18</f>
        <v>3.4</v>
      </c>
      <c r="H1945" s="33">
        <f t="shared" ref="H1945:H1949" si="1095">F1945*G1945</f>
        <v>60.996000000000002</v>
      </c>
      <c r="I1945" s="688"/>
    </row>
    <row r="1946" spans="1:11" x14ac:dyDescent="0.25">
      <c r="A1946" s="21">
        <f>A$16</f>
        <v>1872</v>
      </c>
      <c r="B1946" s="149">
        <f t="shared" si="1092"/>
        <v>2.7442371020856202E-2</v>
      </c>
      <c r="C1946" s="20">
        <f t="shared" si="1093"/>
        <v>12</v>
      </c>
      <c r="D1946" s="21">
        <v>20</v>
      </c>
      <c r="E1946" s="23">
        <f t="shared" ref="E1946:E1949" si="1096">(1.62+1.37)/2</f>
        <v>1.4950000000000001</v>
      </c>
      <c r="F1946" s="21">
        <f t="shared" si="1094"/>
        <v>29.900000000000002</v>
      </c>
      <c r="G1946" s="277">
        <f>'DDS Rates for Amend'!DA19</f>
        <v>3.4883999999999999</v>
      </c>
      <c r="H1946" s="33">
        <f t="shared" si="1095"/>
        <v>104.30316000000001</v>
      </c>
      <c r="I1946" s="688"/>
    </row>
    <row r="1947" spans="1:11" x14ac:dyDescent="0.25">
      <c r="A1947" s="21">
        <f>A$17</f>
        <v>1902</v>
      </c>
      <c r="B1947" s="149">
        <f t="shared" si="1092"/>
        <v>1.6025641025641024E-2</v>
      </c>
      <c r="C1947" s="20">
        <f t="shared" si="1093"/>
        <v>13</v>
      </c>
      <c r="D1947" s="21">
        <v>20</v>
      </c>
      <c r="E1947" s="23">
        <f t="shared" si="1096"/>
        <v>1.4950000000000001</v>
      </c>
      <c r="F1947" s="21">
        <f t="shared" si="1094"/>
        <v>29.900000000000002</v>
      </c>
      <c r="G1947" s="277">
        <f>'DDS Rates for Amend'!DA20</f>
        <v>3.5790983999999999</v>
      </c>
      <c r="H1947" s="33">
        <f t="shared" si="1095"/>
        <v>107.01504216000001</v>
      </c>
      <c r="I1947" s="688"/>
    </row>
    <row r="1948" spans="1:11" x14ac:dyDescent="0.25">
      <c r="A1948" s="21">
        <f>A$18</f>
        <v>1932</v>
      </c>
      <c r="B1948" s="149">
        <f t="shared" si="1092"/>
        <v>1.5772870662460567E-2</v>
      </c>
      <c r="C1948" s="20">
        <f t="shared" si="1093"/>
        <v>14</v>
      </c>
      <c r="D1948" s="21">
        <v>32</v>
      </c>
      <c r="E1948" s="23">
        <f t="shared" si="1096"/>
        <v>1.4950000000000001</v>
      </c>
      <c r="F1948" s="21">
        <f t="shared" si="1094"/>
        <v>47.84</v>
      </c>
      <c r="G1948" s="277">
        <f>'DDS Rates for Amend'!DA21</f>
        <v>3.6721549583999997</v>
      </c>
      <c r="H1948" s="33">
        <f t="shared" si="1095"/>
        <v>175.67589320985599</v>
      </c>
      <c r="I1948" s="688"/>
    </row>
    <row r="1949" spans="1:11" x14ac:dyDescent="0.25">
      <c r="A1949" s="21">
        <f>A$19</f>
        <v>1962</v>
      </c>
      <c r="B1949" s="149">
        <f t="shared" si="1092"/>
        <v>1.5527950310559006E-2</v>
      </c>
      <c r="C1949" s="20">
        <f t="shared" si="1093"/>
        <v>15</v>
      </c>
      <c r="D1949" s="21">
        <v>32</v>
      </c>
      <c r="E1949" s="23">
        <f t="shared" si="1096"/>
        <v>1.4950000000000001</v>
      </c>
      <c r="F1949" s="21">
        <f t="shared" si="1094"/>
        <v>47.84</v>
      </c>
      <c r="G1949" s="277">
        <f>'DDS Rates for Amend'!DA22</f>
        <v>3.7676309873183995</v>
      </c>
      <c r="H1949" s="33">
        <f t="shared" si="1095"/>
        <v>180.24346643331225</v>
      </c>
      <c r="I1949" s="689"/>
      <c r="K1949" s="285">
        <f>SUM(H1935:H1949)</f>
        <v>628.2335618031683</v>
      </c>
    </row>
    <row r="1951" spans="1:11" ht="15" customHeight="1" x14ac:dyDescent="0.25">
      <c r="A1951" s="272" t="s">
        <v>1051</v>
      </c>
      <c r="B1951" s="272"/>
      <c r="C1951" s="272"/>
      <c r="D1951" s="593" t="str">
        <f>'Appendix J-2'!B108</f>
        <v>Visit</v>
      </c>
      <c r="E1951" s="223" t="str">
        <f>'Appendix J-2'!C108</f>
        <v>15 minutes</v>
      </c>
      <c r="F1951" s="690"/>
      <c r="G1951" s="690"/>
      <c r="H1951" s="690"/>
      <c r="I1951" s="687" t="s">
        <v>1055</v>
      </c>
    </row>
    <row r="1952" spans="1:11" x14ac:dyDescent="0.25">
      <c r="A1952" s="147" t="s">
        <v>26</v>
      </c>
      <c r="B1952" s="147" t="s">
        <v>27</v>
      </c>
      <c r="C1952" s="51" t="s">
        <v>166</v>
      </c>
      <c r="D1952" s="91" t="s">
        <v>154</v>
      </c>
      <c r="E1952" s="89" t="s">
        <v>155</v>
      </c>
      <c r="F1952" s="34" t="s">
        <v>158</v>
      </c>
      <c r="G1952" s="35" t="s">
        <v>156</v>
      </c>
      <c r="H1952" s="51" t="s">
        <v>157</v>
      </c>
      <c r="I1952" s="688"/>
    </row>
    <row r="1953" spans="1:11" x14ac:dyDescent="0.25">
      <c r="A1953" s="21">
        <f>A$5</f>
        <v>1182</v>
      </c>
      <c r="B1953" s="148"/>
      <c r="C1953" s="144">
        <v>1</v>
      </c>
      <c r="D1953" s="210"/>
      <c r="E1953" s="22"/>
      <c r="F1953" s="210"/>
      <c r="G1953" s="24"/>
      <c r="H1953" s="211"/>
      <c r="I1953" s="688"/>
    </row>
    <row r="1954" spans="1:11" x14ac:dyDescent="0.25">
      <c r="A1954" s="21">
        <f>A$6</f>
        <v>1288</v>
      </c>
      <c r="B1954" s="149">
        <f>(A1954-A1953)/A1953</f>
        <v>8.9678510998307953E-2</v>
      </c>
      <c r="C1954" s="52">
        <v>2</v>
      </c>
      <c r="D1954" s="210"/>
      <c r="E1954" s="22"/>
      <c r="F1954" s="210"/>
      <c r="G1954" s="24"/>
      <c r="H1954" s="211"/>
      <c r="I1954" s="688"/>
    </row>
    <row r="1955" spans="1:11" x14ac:dyDescent="0.25">
      <c r="A1955" s="21">
        <f>A$7</f>
        <v>1495</v>
      </c>
      <c r="B1955" s="149">
        <f t="shared" ref="B1955:B1967" si="1097">(A1955-A1954)/A1954</f>
        <v>0.16071428571428573</v>
      </c>
      <c r="C1955" s="52">
        <v>3</v>
      </c>
      <c r="D1955" s="210"/>
      <c r="E1955" s="22"/>
      <c r="F1955" s="210"/>
      <c r="G1955" s="24"/>
      <c r="H1955" s="33"/>
      <c r="I1955" s="688"/>
    </row>
    <row r="1956" spans="1:11" x14ac:dyDescent="0.25">
      <c r="A1956" s="21">
        <f>A$8</f>
        <v>1484</v>
      </c>
      <c r="B1956" s="149">
        <f t="shared" si="1097"/>
        <v>-7.3578595317725752E-3</v>
      </c>
      <c r="C1956" s="52">
        <f>C1955+1</f>
        <v>4</v>
      </c>
      <c r="D1956" s="210"/>
      <c r="E1956" s="22"/>
      <c r="F1956" s="210"/>
      <c r="G1956" s="24"/>
      <c r="H1956" s="33"/>
      <c r="I1956" s="688"/>
    </row>
    <row r="1957" spans="1:11" x14ac:dyDescent="0.25">
      <c r="A1957" s="21">
        <f>A$9</f>
        <v>1528</v>
      </c>
      <c r="B1957" s="149">
        <f t="shared" si="1097"/>
        <v>2.9649595687331536E-2</v>
      </c>
      <c r="C1957" s="52">
        <f t="shared" ref="C1957:C1967" si="1098">C1956+1</f>
        <v>5</v>
      </c>
      <c r="D1957" s="210"/>
      <c r="E1957" s="22"/>
      <c r="F1957" s="210"/>
      <c r="G1957" s="24"/>
      <c r="H1957" s="33"/>
      <c r="I1957" s="688"/>
    </row>
    <row r="1958" spans="1:11" x14ac:dyDescent="0.25">
      <c r="A1958" s="21">
        <f>A$10</f>
        <v>1592</v>
      </c>
      <c r="B1958" s="149">
        <f t="shared" si="1097"/>
        <v>4.1884816753926704E-2</v>
      </c>
      <c r="C1958" s="20">
        <f t="shared" si="1098"/>
        <v>6</v>
      </c>
      <c r="D1958" s="21"/>
      <c r="E1958" s="22"/>
      <c r="F1958" s="21"/>
      <c r="G1958" s="24"/>
      <c r="H1958" s="33"/>
      <c r="I1958" s="688"/>
    </row>
    <row r="1959" spans="1:11" x14ac:dyDescent="0.25">
      <c r="A1959" s="21">
        <f>A$11</f>
        <v>1642</v>
      </c>
      <c r="B1959" s="149">
        <f t="shared" si="1097"/>
        <v>3.1407035175879394E-2</v>
      </c>
      <c r="C1959" s="20">
        <f t="shared" si="1098"/>
        <v>7</v>
      </c>
      <c r="D1959" s="21"/>
      <c r="E1959" s="22"/>
      <c r="F1959" s="21"/>
      <c r="G1959" s="24"/>
      <c r="H1959" s="33"/>
      <c r="I1959" s="688"/>
    </row>
    <row r="1960" spans="1:11" x14ac:dyDescent="0.25">
      <c r="A1960" s="21">
        <f>A$12</f>
        <v>1675</v>
      </c>
      <c r="B1960" s="149">
        <f t="shared" si="1097"/>
        <v>2.0097442143727162E-2</v>
      </c>
      <c r="C1960" s="20">
        <f t="shared" si="1098"/>
        <v>8</v>
      </c>
      <c r="D1960" s="21"/>
      <c r="E1960" s="22"/>
      <c r="F1960" s="21"/>
      <c r="G1960" s="24"/>
      <c r="H1960" s="33"/>
      <c r="I1960" s="688"/>
    </row>
    <row r="1961" spans="1:11" x14ac:dyDescent="0.25">
      <c r="A1961" s="21">
        <f>A$13</f>
        <v>1739</v>
      </c>
      <c r="B1961" s="149">
        <f t="shared" si="1097"/>
        <v>3.8208955223880597E-2</v>
      </c>
      <c r="C1961" s="20">
        <f t="shared" si="1098"/>
        <v>9</v>
      </c>
      <c r="D1961" s="21"/>
      <c r="E1961" s="22"/>
      <c r="F1961" s="21"/>
      <c r="G1961" s="24"/>
      <c r="H1961" s="33"/>
      <c r="I1961" s="688"/>
    </row>
    <row r="1962" spans="1:11" x14ac:dyDescent="0.25">
      <c r="A1962" s="21">
        <f>A$14</f>
        <v>1752</v>
      </c>
      <c r="B1962" s="149">
        <f t="shared" si="1097"/>
        <v>7.4755606670500289E-3</v>
      </c>
      <c r="C1962" s="20">
        <f t="shared" si="1098"/>
        <v>10</v>
      </c>
      <c r="D1962" s="21"/>
      <c r="E1962" s="22"/>
      <c r="F1962" s="26"/>
      <c r="G1962" s="25"/>
      <c r="H1962" s="145"/>
      <c r="I1962" s="688"/>
    </row>
    <row r="1963" spans="1:11" x14ac:dyDescent="0.25">
      <c r="A1963" s="21">
        <f>A$15</f>
        <v>1822</v>
      </c>
      <c r="B1963" s="149">
        <f t="shared" si="1097"/>
        <v>3.9954337899543377E-2</v>
      </c>
      <c r="C1963" s="20">
        <f t="shared" si="1098"/>
        <v>11</v>
      </c>
      <c r="D1963" s="21">
        <v>50</v>
      </c>
      <c r="E1963" s="23">
        <f>(1.62+1.37)/2</f>
        <v>1.4950000000000001</v>
      </c>
      <c r="F1963" s="21">
        <f t="shared" ref="F1963:F1967" si="1099">D1963*E1963</f>
        <v>74.75</v>
      </c>
      <c r="G1963" s="277">
        <f>'DDS Rates for Amend'!DB18</f>
        <v>8.82</v>
      </c>
      <c r="H1963" s="33">
        <f t="shared" ref="H1963:H1967" si="1100">F1963*G1963</f>
        <v>659.29500000000007</v>
      </c>
      <c r="I1963" s="688"/>
    </row>
    <row r="1964" spans="1:11" x14ac:dyDescent="0.25">
      <c r="A1964" s="21">
        <f>A$16</f>
        <v>1872</v>
      </c>
      <c r="B1964" s="149">
        <f t="shared" si="1097"/>
        <v>2.7442371020856202E-2</v>
      </c>
      <c r="C1964" s="20">
        <f t="shared" si="1098"/>
        <v>12</v>
      </c>
      <c r="D1964" s="21">
        <v>55</v>
      </c>
      <c r="E1964" s="23">
        <f t="shared" ref="E1964:E1967" si="1101">(1.62+1.37)/2</f>
        <v>1.4950000000000001</v>
      </c>
      <c r="F1964" s="21">
        <f t="shared" si="1099"/>
        <v>82.225000000000009</v>
      </c>
      <c r="G1964" s="277">
        <f>'DDS Rates for Amend'!DB19</f>
        <v>9.0493199999999998</v>
      </c>
      <c r="H1964" s="33">
        <f t="shared" si="1100"/>
        <v>744.0803370000001</v>
      </c>
      <c r="I1964" s="688"/>
    </row>
    <row r="1965" spans="1:11" x14ac:dyDescent="0.25">
      <c r="A1965" s="21">
        <f>A$17</f>
        <v>1902</v>
      </c>
      <c r="B1965" s="149">
        <f t="shared" si="1097"/>
        <v>1.6025641025641024E-2</v>
      </c>
      <c r="C1965" s="20">
        <f t="shared" si="1098"/>
        <v>13</v>
      </c>
      <c r="D1965" s="21">
        <v>60</v>
      </c>
      <c r="E1965" s="23">
        <f t="shared" si="1101"/>
        <v>1.4950000000000001</v>
      </c>
      <c r="F1965" s="21">
        <f t="shared" si="1099"/>
        <v>89.7</v>
      </c>
      <c r="G1965" s="277">
        <f>'DDS Rates for Amend'!DB20</f>
        <v>9.2846023199999994</v>
      </c>
      <c r="H1965" s="33">
        <f t="shared" si="1100"/>
        <v>832.82882810399997</v>
      </c>
      <c r="I1965" s="688"/>
    </row>
    <row r="1966" spans="1:11" x14ac:dyDescent="0.25">
      <c r="A1966" s="21">
        <f>A$18</f>
        <v>1932</v>
      </c>
      <c r="B1966" s="149">
        <f t="shared" si="1097"/>
        <v>1.5772870662460567E-2</v>
      </c>
      <c r="C1966" s="20">
        <f t="shared" si="1098"/>
        <v>14</v>
      </c>
      <c r="D1966" s="21">
        <v>65</v>
      </c>
      <c r="E1966" s="23">
        <f t="shared" si="1101"/>
        <v>1.4950000000000001</v>
      </c>
      <c r="F1966" s="21">
        <f t="shared" si="1099"/>
        <v>97.175000000000011</v>
      </c>
      <c r="G1966" s="277">
        <f>'DDS Rates for Amend'!DB21</f>
        <v>9.5260019803200002</v>
      </c>
      <c r="H1966" s="33">
        <f t="shared" si="1100"/>
        <v>925.68924243759614</v>
      </c>
      <c r="I1966" s="688"/>
    </row>
    <row r="1967" spans="1:11" x14ac:dyDescent="0.25">
      <c r="A1967" s="21">
        <f>A$19</f>
        <v>1962</v>
      </c>
      <c r="B1967" s="149">
        <f t="shared" si="1097"/>
        <v>1.5527950310559006E-2</v>
      </c>
      <c r="C1967" s="20">
        <f t="shared" si="1098"/>
        <v>15</v>
      </c>
      <c r="D1967" s="21">
        <v>70</v>
      </c>
      <c r="E1967" s="23">
        <f t="shared" si="1101"/>
        <v>1.4950000000000001</v>
      </c>
      <c r="F1967" s="21">
        <f t="shared" si="1099"/>
        <v>104.65</v>
      </c>
      <c r="G1967" s="277">
        <f>'DDS Rates for Amend'!DB22</f>
        <v>9.7736780318083198</v>
      </c>
      <c r="H1967" s="33">
        <f t="shared" si="1100"/>
        <v>1022.8154060287408</v>
      </c>
      <c r="I1967" s="689"/>
      <c r="K1967" s="285">
        <f>SUM(H1953:H1967)</f>
        <v>4184.708813570337</v>
      </c>
    </row>
    <row r="1968" spans="1:11" x14ac:dyDescent="0.25">
      <c r="F1968" s="407"/>
      <c r="G1968" s="407"/>
      <c r="H1968" s="407"/>
    </row>
    <row r="1969" spans="1:9" ht="15" customHeight="1" x14ac:dyDescent="0.25">
      <c r="A1969" s="272" t="s">
        <v>1052</v>
      </c>
      <c r="B1969" s="272"/>
      <c r="C1969" s="272"/>
      <c r="D1969" s="593" t="str">
        <f>'Appendix J-2'!B109</f>
        <v>Visit</v>
      </c>
      <c r="E1969" s="223" t="str">
        <f>'Appendix J-2'!C109</f>
        <v>15 minutes</v>
      </c>
      <c r="F1969" s="690"/>
      <c r="G1969" s="690"/>
      <c r="H1969" s="690"/>
      <c r="I1969" s="687" t="s">
        <v>1055</v>
      </c>
    </row>
    <row r="1970" spans="1:9" x14ac:dyDescent="0.25">
      <c r="A1970" s="147" t="s">
        <v>26</v>
      </c>
      <c r="B1970" s="147" t="s">
        <v>27</v>
      </c>
      <c r="C1970" s="51" t="s">
        <v>166</v>
      </c>
      <c r="D1970" s="91" t="s">
        <v>154</v>
      </c>
      <c r="E1970" s="89" t="s">
        <v>155</v>
      </c>
      <c r="F1970" s="34" t="s">
        <v>158</v>
      </c>
      <c r="G1970" s="35" t="s">
        <v>156</v>
      </c>
      <c r="H1970" s="51" t="s">
        <v>157</v>
      </c>
      <c r="I1970" s="688"/>
    </row>
    <row r="1971" spans="1:9" x14ac:dyDescent="0.25">
      <c r="A1971" s="21">
        <f>A$5</f>
        <v>1182</v>
      </c>
      <c r="B1971" s="148"/>
      <c r="C1971" s="144">
        <v>1</v>
      </c>
      <c r="D1971" s="210"/>
      <c r="E1971" s="22"/>
      <c r="F1971" s="210"/>
      <c r="G1971" s="24"/>
      <c r="H1971" s="211"/>
      <c r="I1971" s="688"/>
    </row>
    <row r="1972" spans="1:9" x14ac:dyDescent="0.25">
      <c r="A1972" s="21">
        <f>A$6</f>
        <v>1288</v>
      </c>
      <c r="B1972" s="149">
        <f>(A1972-A1971)/A1971</f>
        <v>8.9678510998307953E-2</v>
      </c>
      <c r="C1972" s="52">
        <v>2</v>
      </c>
      <c r="D1972" s="210"/>
      <c r="E1972" s="22"/>
      <c r="F1972" s="210"/>
      <c r="G1972" s="24"/>
      <c r="H1972" s="211"/>
      <c r="I1972" s="688"/>
    </row>
    <row r="1973" spans="1:9" x14ac:dyDescent="0.25">
      <c r="A1973" s="21">
        <f>A$7</f>
        <v>1495</v>
      </c>
      <c r="B1973" s="149">
        <f t="shared" ref="B1973:B1985" si="1102">(A1973-A1972)/A1972</f>
        <v>0.16071428571428573</v>
      </c>
      <c r="C1973" s="52">
        <v>3</v>
      </c>
      <c r="D1973" s="210"/>
      <c r="E1973" s="22"/>
      <c r="F1973" s="210"/>
      <c r="G1973" s="24"/>
      <c r="H1973" s="33"/>
      <c r="I1973" s="688"/>
    </row>
    <row r="1974" spans="1:9" x14ac:dyDescent="0.25">
      <c r="A1974" s="21">
        <f>A$8</f>
        <v>1484</v>
      </c>
      <c r="B1974" s="149">
        <f t="shared" si="1102"/>
        <v>-7.3578595317725752E-3</v>
      </c>
      <c r="C1974" s="52">
        <f>C1973+1</f>
        <v>4</v>
      </c>
      <c r="D1974" s="210"/>
      <c r="E1974" s="22"/>
      <c r="F1974" s="210"/>
      <c r="G1974" s="24"/>
      <c r="H1974" s="33"/>
      <c r="I1974" s="688"/>
    </row>
    <row r="1975" spans="1:9" x14ac:dyDescent="0.25">
      <c r="A1975" s="21">
        <f>A$9</f>
        <v>1528</v>
      </c>
      <c r="B1975" s="149">
        <f t="shared" si="1102"/>
        <v>2.9649595687331536E-2</v>
      </c>
      <c r="C1975" s="52">
        <f t="shared" ref="C1975:C1985" si="1103">C1974+1</f>
        <v>5</v>
      </c>
      <c r="D1975" s="210"/>
      <c r="E1975" s="22"/>
      <c r="F1975" s="210"/>
      <c r="G1975" s="24"/>
      <c r="H1975" s="33"/>
      <c r="I1975" s="688"/>
    </row>
    <row r="1976" spans="1:9" x14ac:dyDescent="0.25">
      <c r="A1976" s="21">
        <f>A$10</f>
        <v>1592</v>
      </c>
      <c r="B1976" s="149">
        <f t="shared" si="1102"/>
        <v>4.1884816753926704E-2</v>
      </c>
      <c r="C1976" s="20">
        <f t="shared" si="1103"/>
        <v>6</v>
      </c>
      <c r="D1976" s="21"/>
      <c r="E1976" s="22"/>
      <c r="F1976" s="21"/>
      <c r="G1976" s="24"/>
      <c r="H1976" s="33"/>
      <c r="I1976" s="688"/>
    </row>
    <row r="1977" spans="1:9" x14ac:dyDescent="0.25">
      <c r="A1977" s="21">
        <f>A$11</f>
        <v>1642</v>
      </c>
      <c r="B1977" s="149">
        <f t="shared" si="1102"/>
        <v>3.1407035175879394E-2</v>
      </c>
      <c r="C1977" s="20">
        <f t="shared" si="1103"/>
        <v>7</v>
      </c>
      <c r="D1977" s="21"/>
      <c r="E1977" s="22"/>
      <c r="F1977" s="21"/>
      <c r="G1977" s="24"/>
      <c r="H1977" s="33"/>
      <c r="I1977" s="688"/>
    </row>
    <row r="1978" spans="1:9" x14ac:dyDescent="0.25">
      <c r="A1978" s="21">
        <f>A$12</f>
        <v>1675</v>
      </c>
      <c r="B1978" s="149">
        <f t="shared" si="1102"/>
        <v>2.0097442143727162E-2</v>
      </c>
      <c r="C1978" s="20">
        <f t="shared" si="1103"/>
        <v>8</v>
      </c>
      <c r="D1978" s="21"/>
      <c r="E1978" s="22"/>
      <c r="F1978" s="21"/>
      <c r="G1978" s="24"/>
      <c r="H1978" s="33"/>
      <c r="I1978" s="688"/>
    </row>
    <row r="1979" spans="1:9" x14ac:dyDescent="0.25">
      <c r="A1979" s="21">
        <f>A$13</f>
        <v>1739</v>
      </c>
      <c r="B1979" s="149">
        <f t="shared" si="1102"/>
        <v>3.8208955223880597E-2</v>
      </c>
      <c r="C1979" s="20">
        <f t="shared" si="1103"/>
        <v>9</v>
      </c>
      <c r="D1979" s="21"/>
      <c r="E1979" s="22"/>
      <c r="F1979" s="21"/>
      <c r="G1979" s="24"/>
      <c r="H1979" s="33"/>
      <c r="I1979" s="688"/>
    </row>
    <row r="1980" spans="1:9" x14ac:dyDescent="0.25">
      <c r="A1980" s="21">
        <f>A$14</f>
        <v>1752</v>
      </c>
      <c r="B1980" s="149">
        <f t="shared" si="1102"/>
        <v>7.4755606670500289E-3</v>
      </c>
      <c r="C1980" s="20">
        <f t="shared" si="1103"/>
        <v>10</v>
      </c>
      <c r="D1980" s="21"/>
      <c r="E1980" s="22"/>
      <c r="F1980" s="26"/>
      <c r="G1980" s="25"/>
      <c r="H1980" s="145"/>
      <c r="I1980" s="688"/>
    </row>
    <row r="1981" spans="1:9" x14ac:dyDescent="0.25">
      <c r="A1981" s="21">
        <f>A$15</f>
        <v>1822</v>
      </c>
      <c r="B1981" s="149">
        <f t="shared" si="1102"/>
        <v>3.9954337899543377E-2</v>
      </c>
      <c r="C1981" s="20">
        <f t="shared" si="1103"/>
        <v>11</v>
      </c>
      <c r="D1981" s="21">
        <v>12</v>
      </c>
      <c r="E1981" s="23">
        <f>(1.62+1.37)/2</f>
        <v>1.4950000000000001</v>
      </c>
      <c r="F1981" s="21">
        <f t="shared" ref="F1981:F1985" si="1104">D1981*E1981</f>
        <v>17.940000000000001</v>
      </c>
      <c r="G1981" s="277">
        <f>'DDS Rates for Amend'!DC18</f>
        <v>2.6</v>
      </c>
      <c r="H1981" s="33">
        <f t="shared" ref="H1981:H1985" si="1105">F1981*G1981</f>
        <v>46.644000000000005</v>
      </c>
      <c r="I1981" s="688"/>
    </row>
    <row r="1982" spans="1:9" x14ac:dyDescent="0.25">
      <c r="A1982" s="21">
        <f>A$16</f>
        <v>1872</v>
      </c>
      <c r="B1982" s="149">
        <f t="shared" si="1102"/>
        <v>2.7442371020856202E-2</v>
      </c>
      <c r="C1982" s="20">
        <f t="shared" si="1103"/>
        <v>12</v>
      </c>
      <c r="D1982" s="21">
        <v>20</v>
      </c>
      <c r="E1982" s="23">
        <f t="shared" ref="E1982:E1985" si="1106">(1.62+1.37)/2</f>
        <v>1.4950000000000001</v>
      </c>
      <c r="F1982" s="21">
        <f t="shared" si="1104"/>
        <v>29.900000000000002</v>
      </c>
      <c r="G1982" s="277">
        <f>'DDS Rates for Amend'!DC19</f>
        <v>2.6676000000000002</v>
      </c>
      <c r="H1982" s="33">
        <f t="shared" si="1105"/>
        <v>79.761240000000015</v>
      </c>
      <c r="I1982" s="688"/>
    </row>
    <row r="1983" spans="1:9" x14ac:dyDescent="0.25">
      <c r="A1983" s="21">
        <f>A$17</f>
        <v>1902</v>
      </c>
      <c r="B1983" s="149">
        <f t="shared" si="1102"/>
        <v>1.6025641025641024E-2</v>
      </c>
      <c r="C1983" s="20">
        <f t="shared" si="1103"/>
        <v>13</v>
      </c>
      <c r="D1983" s="21">
        <v>20</v>
      </c>
      <c r="E1983" s="23">
        <f t="shared" si="1106"/>
        <v>1.4950000000000001</v>
      </c>
      <c r="F1983" s="21">
        <f t="shared" si="1104"/>
        <v>29.900000000000002</v>
      </c>
      <c r="G1983" s="277">
        <f>'DDS Rates for Amend'!DC20</f>
        <v>2.7369576000000002</v>
      </c>
      <c r="H1983" s="33">
        <f t="shared" si="1105"/>
        <v>81.835032240000018</v>
      </c>
      <c r="I1983" s="688"/>
    </row>
    <row r="1984" spans="1:9" x14ac:dyDescent="0.25">
      <c r="A1984" s="21">
        <f>A$18</f>
        <v>1932</v>
      </c>
      <c r="B1984" s="149">
        <f t="shared" si="1102"/>
        <v>1.5772870662460567E-2</v>
      </c>
      <c r="C1984" s="20">
        <f t="shared" si="1103"/>
        <v>14</v>
      </c>
      <c r="D1984" s="21">
        <v>32</v>
      </c>
      <c r="E1984" s="23">
        <f t="shared" si="1106"/>
        <v>1.4950000000000001</v>
      </c>
      <c r="F1984" s="21">
        <f t="shared" si="1104"/>
        <v>47.84</v>
      </c>
      <c r="G1984" s="277">
        <f>'DDS Rates for Amend'!DC21</f>
        <v>2.8081184976000002</v>
      </c>
      <c r="H1984" s="33">
        <f t="shared" si="1105"/>
        <v>134.34038892518402</v>
      </c>
      <c r="I1984" s="688"/>
    </row>
    <row r="1985" spans="1:11" x14ac:dyDescent="0.25">
      <c r="A1985" s="21">
        <f>A$19</f>
        <v>1962</v>
      </c>
      <c r="B1985" s="149">
        <f t="shared" si="1102"/>
        <v>1.5527950310559006E-2</v>
      </c>
      <c r="C1985" s="20">
        <f t="shared" si="1103"/>
        <v>15</v>
      </c>
      <c r="D1985" s="21">
        <v>32</v>
      </c>
      <c r="E1985" s="23">
        <f t="shared" si="1106"/>
        <v>1.4950000000000001</v>
      </c>
      <c r="F1985" s="21">
        <f t="shared" si="1104"/>
        <v>47.84</v>
      </c>
      <c r="G1985" s="277">
        <f>'DDS Rates for Amend'!DC22</f>
        <v>2.8811295785376001</v>
      </c>
      <c r="H1985" s="33">
        <f t="shared" si="1105"/>
        <v>137.8332390372388</v>
      </c>
      <c r="I1985" s="689"/>
      <c r="K1985" s="285">
        <f>SUM(H1971:H1985)</f>
        <v>480.41390020242284</v>
      </c>
    </row>
    <row r="1987" spans="1:11" ht="15" customHeight="1" x14ac:dyDescent="0.25">
      <c r="A1987" s="272" t="s">
        <v>1053</v>
      </c>
      <c r="B1987" s="272"/>
      <c r="C1987" s="272"/>
      <c r="D1987" s="593" t="str">
        <f>'Appendix J-2'!B110</f>
        <v>Visit</v>
      </c>
      <c r="E1987" s="223" t="str">
        <f>'Appendix J-2'!C110</f>
        <v>15 minutes</v>
      </c>
      <c r="F1987" s="690"/>
      <c r="G1987" s="690"/>
      <c r="H1987" s="690"/>
      <c r="I1987" s="687" t="s">
        <v>1055</v>
      </c>
    </row>
    <row r="1988" spans="1:11" x14ac:dyDescent="0.25">
      <c r="A1988" s="147" t="s">
        <v>26</v>
      </c>
      <c r="B1988" s="147" t="s">
        <v>27</v>
      </c>
      <c r="C1988" s="51" t="s">
        <v>166</v>
      </c>
      <c r="D1988" s="91" t="s">
        <v>154</v>
      </c>
      <c r="E1988" s="89" t="s">
        <v>155</v>
      </c>
      <c r="F1988" s="34" t="s">
        <v>158</v>
      </c>
      <c r="G1988" s="35" t="s">
        <v>156</v>
      </c>
      <c r="H1988" s="51" t="s">
        <v>157</v>
      </c>
      <c r="I1988" s="688"/>
    </row>
    <row r="1989" spans="1:11" x14ac:dyDescent="0.25">
      <c r="A1989" s="21">
        <f>A$5</f>
        <v>1182</v>
      </c>
      <c r="B1989" s="148"/>
      <c r="C1989" s="144">
        <v>1</v>
      </c>
      <c r="D1989" s="210"/>
      <c r="E1989" s="22"/>
      <c r="F1989" s="210"/>
      <c r="G1989" s="24"/>
      <c r="H1989" s="211"/>
      <c r="I1989" s="688"/>
    </row>
    <row r="1990" spans="1:11" x14ac:dyDescent="0.25">
      <c r="A1990" s="21">
        <f>A$6</f>
        <v>1288</v>
      </c>
      <c r="B1990" s="149">
        <f>(A1990-A1989)/A1989</f>
        <v>8.9678510998307953E-2</v>
      </c>
      <c r="C1990" s="52">
        <v>2</v>
      </c>
      <c r="D1990" s="210"/>
      <c r="E1990" s="22"/>
      <c r="F1990" s="210"/>
      <c r="G1990" s="24"/>
      <c r="H1990" s="211"/>
      <c r="I1990" s="688"/>
    </row>
    <row r="1991" spans="1:11" x14ac:dyDescent="0.25">
      <c r="A1991" s="21">
        <f>A$7</f>
        <v>1495</v>
      </c>
      <c r="B1991" s="149">
        <f t="shared" ref="B1991:B2003" si="1107">(A1991-A1990)/A1990</f>
        <v>0.16071428571428573</v>
      </c>
      <c r="C1991" s="52">
        <v>3</v>
      </c>
      <c r="D1991" s="210"/>
      <c r="E1991" s="22"/>
      <c r="F1991" s="210"/>
      <c r="G1991" s="24"/>
      <c r="H1991" s="33"/>
      <c r="I1991" s="688"/>
    </row>
    <row r="1992" spans="1:11" x14ac:dyDescent="0.25">
      <c r="A1992" s="21">
        <f>A$8</f>
        <v>1484</v>
      </c>
      <c r="B1992" s="149">
        <f t="shared" si="1107"/>
        <v>-7.3578595317725752E-3</v>
      </c>
      <c r="C1992" s="52">
        <f>C1991+1</f>
        <v>4</v>
      </c>
      <c r="D1992" s="210"/>
      <c r="E1992" s="22"/>
      <c r="F1992" s="210"/>
      <c r="G1992" s="24"/>
      <c r="H1992" s="33"/>
      <c r="I1992" s="688"/>
    </row>
    <row r="1993" spans="1:11" x14ac:dyDescent="0.25">
      <c r="A1993" s="21">
        <f>A$9</f>
        <v>1528</v>
      </c>
      <c r="B1993" s="149">
        <f t="shared" si="1107"/>
        <v>2.9649595687331536E-2</v>
      </c>
      <c r="C1993" s="52">
        <f t="shared" ref="C1993:C2003" si="1108">C1992+1</f>
        <v>5</v>
      </c>
      <c r="D1993" s="210"/>
      <c r="E1993" s="22"/>
      <c r="F1993" s="210"/>
      <c r="G1993" s="24"/>
      <c r="H1993" s="33"/>
      <c r="I1993" s="688"/>
    </row>
    <row r="1994" spans="1:11" x14ac:dyDescent="0.25">
      <c r="A1994" s="21">
        <f>A$10</f>
        <v>1592</v>
      </c>
      <c r="B1994" s="149">
        <f t="shared" si="1107"/>
        <v>4.1884816753926704E-2</v>
      </c>
      <c r="C1994" s="20">
        <f t="shared" si="1108"/>
        <v>6</v>
      </c>
      <c r="D1994" s="21"/>
      <c r="E1994" s="22"/>
      <c r="F1994" s="21"/>
      <c r="G1994" s="24"/>
      <c r="H1994" s="33"/>
      <c r="I1994" s="688"/>
    </row>
    <row r="1995" spans="1:11" x14ac:dyDescent="0.25">
      <c r="A1995" s="21">
        <f>A$11</f>
        <v>1642</v>
      </c>
      <c r="B1995" s="149">
        <f t="shared" si="1107"/>
        <v>3.1407035175879394E-2</v>
      </c>
      <c r="C1995" s="20">
        <f t="shared" si="1108"/>
        <v>7</v>
      </c>
      <c r="D1995" s="21"/>
      <c r="E1995" s="22"/>
      <c r="F1995" s="21"/>
      <c r="G1995" s="24"/>
      <c r="H1995" s="33"/>
      <c r="I1995" s="688"/>
    </row>
    <row r="1996" spans="1:11" x14ac:dyDescent="0.25">
      <c r="A1996" s="21">
        <f>A$12</f>
        <v>1675</v>
      </c>
      <c r="B1996" s="149">
        <f t="shared" si="1107"/>
        <v>2.0097442143727162E-2</v>
      </c>
      <c r="C1996" s="20">
        <f t="shared" si="1108"/>
        <v>8</v>
      </c>
      <c r="D1996" s="21"/>
      <c r="E1996" s="22"/>
      <c r="F1996" s="21"/>
      <c r="G1996" s="24"/>
      <c r="H1996" s="33"/>
      <c r="I1996" s="688"/>
    </row>
    <row r="1997" spans="1:11" x14ac:dyDescent="0.25">
      <c r="A1997" s="21">
        <f>A$13</f>
        <v>1739</v>
      </c>
      <c r="B1997" s="149">
        <f t="shared" si="1107"/>
        <v>3.8208955223880597E-2</v>
      </c>
      <c r="C1997" s="20">
        <f t="shared" si="1108"/>
        <v>9</v>
      </c>
      <c r="D1997" s="21"/>
      <c r="E1997" s="22"/>
      <c r="F1997" s="21"/>
      <c r="G1997" s="24"/>
      <c r="H1997" s="33"/>
      <c r="I1997" s="688"/>
    </row>
    <row r="1998" spans="1:11" x14ac:dyDescent="0.25">
      <c r="A1998" s="21">
        <f>A$14</f>
        <v>1752</v>
      </c>
      <c r="B1998" s="149">
        <f t="shared" si="1107"/>
        <v>7.4755606670500289E-3</v>
      </c>
      <c r="C1998" s="20">
        <f t="shared" si="1108"/>
        <v>10</v>
      </c>
      <c r="D1998" s="21"/>
      <c r="E1998" s="22"/>
      <c r="F1998" s="26"/>
      <c r="G1998" s="25"/>
      <c r="H1998" s="145"/>
      <c r="I1998" s="688"/>
    </row>
    <row r="1999" spans="1:11" x14ac:dyDescent="0.25">
      <c r="A1999" s="21">
        <f>A$15</f>
        <v>1822</v>
      </c>
      <c r="B1999" s="149">
        <f t="shared" si="1107"/>
        <v>3.9954337899543377E-2</v>
      </c>
      <c r="C1999" s="20">
        <f t="shared" si="1108"/>
        <v>11</v>
      </c>
      <c r="D1999" s="21">
        <v>50</v>
      </c>
      <c r="E1999" s="23">
        <f>(1.62+1.37)/2</f>
        <v>1.4950000000000001</v>
      </c>
      <c r="F1999" s="21">
        <f t="shared" ref="F1999:F2003" si="1109">D1999*E1999</f>
        <v>74.75</v>
      </c>
      <c r="G1999" s="277">
        <f>'DDS Rates for Amend'!DD18</f>
        <v>8.82</v>
      </c>
      <c r="H1999" s="33">
        <f t="shared" ref="H1999:H2003" si="1110">F1999*G1999</f>
        <v>659.29500000000007</v>
      </c>
      <c r="I1999" s="688"/>
    </row>
    <row r="2000" spans="1:11" x14ac:dyDescent="0.25">
      <c r="A2000" s="21">
        <f>A$16</f>
        <v>1872</v>
      </c>
      <c r="B2000" s="149">
        <f t="shared" si="1107"/>
        <v>2.7442371020856202E-2</v>
      </c>
      <c r="C2000" s="20">
        <f t="shared" si="1108"/>
        <v>12</v>
      </c>
      <c r="D2000" s="21">
        <v>55</v>
      </c>
      <c r="E2000" s="23">
        <f t="shared" ref="E2000:E2003" si="1111">(1.62+1.37)/2</f>
        <v>1.4950000000000001</v>
      </c>
      <c r="F2000" s="21">
        <f t="shared" si="1109"/>
        <v>82.225000000000009</v>
      </c>
      <c r="G2000" s="277">
        <f>'DDS Rates for Amend'!DD19</f>
        <v>9.0493199999999998</v>
      </c>
      <c r="H2000" s="33">
        <f t="shared" si="1110"/>
        <v>744.0803370000001</v>
      </c>
      <c r="I2000" s="688"/>
    </row>
    <row r="2001" spans="1:11" x14ac:dyDescent="0.25">
      <c r="A2001" s="21">
        <f>A$17</f>
        <v>1902</v>
      </c>
      <c r="B2001" s="149">
        <f t="shared" si="1107"/>
        <v>1.6025641025641024E-2</v>
      </c>
      <c r="C2001" s="20">
        <f t="shared" si="1108"/>
        <v>13</v>
      </c>
      <c r="D2001" s="21">
        <v>60</v>
      </c>
      <c r="E2001" s="23">
        <f t="shared" si="1111"/>
        <v>1.4950000000000001</v>
      </c>
      <c r="F2001" s="21">
        <f t="shared" si="1109"/>
        <v>89.7</v>
      </c>
      <c r="G2001" s="277">
        <f>'DDS Rates for Amend'!DD20</f>
        <v>9.2846023199999994</v>
      </c>
      <c r="H2001" s="33">
        <f t="shared" si="1110"/>
        <v>832.82882810399997</v>
      </c>
      <c r="I2001" s="688"/>
    </row>
    <row r="2002" spans="1:11" x14ac:dyDescent="0.25">
      <c r="A2002" s="21">
        <f>A$18</f>
        <v>1932</v>
      </c>
      <c r="B2002" s="149">
        <f t="shared" si="1107"/>
        <v>1.5772870662460567E-2</v>
      </c>
      <c r="C2002" s="20">
        <f t="shared" si="1108"/>
        <v>14</v>
      </c>
      <c r="D2002" s="21">
        <v>65</v>
      </c>
      <c r="E2002" s="23">
        <f t="shared" si="1111"/>
        <v>1.4950000000000001</v>
      </c>
      <c r="F2002" s="21">
        <f t="shared" si="1109"/>
        <v>97.175000000000011</v>
      </c>
      <c r="G2002" s="277">
        <f>'DDS Rates for Amend'!DD21</f>
        <v>9.5260019803200002</v>
      </c>
      <c r="H2002" s="33">
        <f t="shared" si="1110"/>
        <v>925.68924243759614</v>
      </c>
      <c r="I2002" s="688"/>
    </row>
    <row r="2003" spans="1:11" x14ac:dyDescent="0.25">
      <c r="A2003" s="21">
        <f>A$19</f>
        <v>1962</v>
      </c>
      <c r="B2003" s="149">
        <f t="shared" si="1107"/>
        <v>1.5527950310559006E-2</v>
      </c>
      <c r="C2003" s="20">
        <f t="shared" si="1108"/>
        <v>15</v>
      </c>
      <c r="D2003" s="21">
        <v>70</v>
      </c>
      <c r="E2003" s="23">
        <f t="shared" si="1111"/>
        <v>1.4950000000000001</v>
      </c>
      <c r="F2003" s="21">
        <f t="shared" si="1109"/>
        <v>104.65</v>
      </c>
      <c r="G2003" s="277">
        <f>'DDS Rates for Amend'!DD22</f>
        <v>9.7736780318083198</v>
      </c>
      <c r="H2003" s="33">
        <f t="shared" si="1110"/>
        <v>1022.8154060287408</v>
      </c>
      <c r="I2003" s="689"/>
      <c r="K2003" s="285">
        <f>SUM(H1989:H2003)</f>
        <v>4184.708813570337</v>
      </c>
    </row>
    <row r="2004" spans="1:11" x14ac:dyDescent="0.25">
      <c r="F2004" s="407"/>
      <c r="G2004" s="407"/>
      <c r="H2004" s="407"/>
    </row>
    <row r="2005" spans="1:11" x14ac:dyDescent="0.25">
      <c r="A2005" s="272" t="s">
        <v>1054</v>
      </c>
      <c r="B2005" s="272"/>
      <c r="C2005" s="272"/>
      <c r="D2005" s="593" t="str">
        <f>'Appendix J-2'!B111</f>
        <v>Visit</v>
      </c>
      <c r="E2005" s="223" t="str">
        <f>'Appendix J-2'!C111</f>
        <v>15 minutes</v>
      </c>
      <c r="F2005" s="690"/>
      <c r="G2005" s="690"/>
      <c r="H2005" s="690"/>
      <c r="I2005" s="687" t="s">
        <v>1055</v>
      </c>
    </row>
    <row r="2006" spans="1:11" x14ac:dyDescent="0.25">
      <c r="A2006" s="147" t="s">
        <v>26</v>
      </c>
      <c r="B2006" s="147" t="s">
        <v>27</v>
      </c>
      <c r="C2006" s="51" t="s">
        <v>166</v>
      </c>
      <c r="D2006" s="91" t="s">
        <v>154</v>
      </c>
      <c r="E2006" s="89" t="s">
        <v>155</v>
      </c>
      <c r="F2006" s="34" t="s">
        <v>158</v>
      </c>
      <c r="G2006" s="35" t="s">
        <v>156</v>
      </c>
      <c r="H2006" s="51" t="s">
        <v>157</v>
      </c>
      <c r="I2006" s="688"/>
    </row>
    <row r="2007" spans="1:11" x14ac:dyDescent="0.25">
      <c r="A2007" s="21">
        <f>A$5</f>
        <v>1182</v>
      </c>
      <c r="B2007" s="148"/>
      <c r="C2007" s="144">
        <v>1</v>
      </c>
      <c r="D2007" s="210"/>
      <c r="E2007" s="22"/>
      <c r="F2007" s="210"/>
      <c r="G2007" s="24"/>
      <c r="H2007" s="211"/>
      <c r="I2007" s="688"/>
    </row>
    <row r="2008" spans="1:11" x14ac:dyDescent="0.25">
      <c r="A2008" s="21">
        <f>A$6</f>
        <v>1288</v>
      </c>
      <c r="B2008" s="149">
        <f>(A2008-A2007)/A2007</f>
        <v>8.9678510998307953E-2</v>
      </c>
      <c r="C2008" s="52">
        <v>2</v>
      </c>
      <c r="D2008" s="210"/>
      <c r="E2008" s="22"/>
      <c r="F2008" s="210"/>
      <c r="G2008" s="24"/>
      <c r="H2008" s="211"/>
      <c r="I2008" s="688"/>
    </row>
    <row r="2009" spans="1:11" x14ac:dyDescent="0.25">
      <c r="A2009" s="21">
        <f>A$7</f>
        <v>1495</v>
      </c>
      <c r="B2009" s="149">
        <f t="shared" ref="B2009:B2021" si="1112">(A2009-A2008)/A2008</f>
        <v>0.16071428571428573</v>
      </c>
      <c r="C2009" s="52">
        <v>3</v>
      </c>
      <c r="D2009" s="210"/>
      <c r="E2009" s="22"/>
      <c r="F2009" s="210"/>
      <c r="G2009" s="24"/>
      <c r="H2009" s="33"/>
      <c r="I2009" s="688"/>
    </row>
    <row r="2010" spans="1:11" x14ac:dyDescent="0.25">
      <c r="A2010" s="21">
        <f>A$8</f>
        <v>1484</v>
      </c>
      <c r="B2010" s="149">
        <f t="shared" si="1112"/>
        <v>-7.3578595317725752E-3</v>
      </c>
      <c r="C2010" s="52">
        <f>C2009+1</f>
        <v>4</v>
      </c>
      <c r="D2010" s="210"/>
      <c r="E2010" s="22"/>
      <c r="F2010" s="210"/>
      <c r="G2010" s="24"/>
      <c r="H2010" s="33"/>
      <c r="I2010" s="688"/>
    </row>
    <row r="2011" spans="1:11" x14ac:dyDescent="0.25">
      <c r="A2011" s="21">
        <f>A$9</f>
        <v>1528</v>
      </c>
      <c r="B2011" s="149">
        <f t="shared" si="1112"/>
        <v>2.9649595687331536E-2</v>
      </c>
      <c r="C2011" s="52">
        <f t="shared" ref="C2011:C2021" si="1113">C2010+1</f>
        <v>5</v>
      </c>
      <c r="D2011" s="210"/>
      <c r="E2011" s="22"/>
      <c r="F2011" s="210"/>
      <c r="G2011" s="24"/>
      <c r="H2011" s="33"/>
      <c r="I2011" s="688"/>
    </row>
    <row r="2012" spans="1:11" x14ac:dyDescent="0.25">
      <c r="A2012" s="21">
        <f>A$10</f>
        <v>1592</v>
      </c>
      <c r="B2012" s="149">
        <f t="shared" si="1112"/>
        <v>4.1884816753926704E-2</v>
      </c>
      <c r="C2012" s="20">
        <f t="shared" si="1113"/>
        <v>6</v>
      </c>
      <c r="D2012" s="21"/>
      <c r="E2012" s="22"/>
      <c r="F2012" s="21"/>
      <c r="G2012" s="24"/>
      <c r="H2012" s="33"/>
      <c r="I2012" s="688"/>
    </row>
    <row r="2013" spans="1:11" x14ac:dyDescent="0.25">
      <c r="A2013" s="21">
        <f>A$11</f>
        <v>1642</v>
      </c>
      <c r="B2013" s="149">
        <f t="shared" si="1112"/>
        <v>3.1407035175879394E-2</v>
      </c>
      <c r="C2013" s="20">
        <f t="shared" si="1113"/>
        <v>7</v>
      </c>
      <c r="D2013" s="21"/>
      <c r="E2013" s="22"/>
      <c r="F2013" s="21"/>
      <c r="G2013" s="24"/>
      <c r="H2013" s="33"/>
      <c r="I2013" s="688"/>
    </row>
    <row r="2014" spans="1:11" x14ac:dyDescent="0.25">
      <c r="A2014" s="21">
        <f>A$12</f>
        <v>1675</v>
      </c>
      <c r="B2014" s="149">
        <f t="shared" si="1112"/>
        <v>2.0097442143727162E-2</v>
      </c>
      <c r="C2014" s="20">
        <f t="shared" si="1113"/>
        <v>8</v>
      </c>
      <c r="D2014" s="21"/>
      <c r="E2014" s="22"/>
      <c r="F2014" s="21"/>
      <c r="G2014" s="24"/>
      <c r="H2014" s="33"/>
      <c r="I2014" s="688"/>
    </row>
    <row r="2015" spans="1:11" x14ac:dyDescent="0.25">
      <c r="A2015" s="21">
        <f>A$13</f>
        <v>1739</v>
      </c>
      <c r="B2015" s="149">
        <f t="shared" si="1112"/>
        <v>3.8208955223880597E-2</v>
      </c>
      <c r="C2015" s="20">
        <f t="shared" si="1113"/>
        <v>9</v>
      </c>
      <c r="D2015" s="21"/>
      <c r="E2015" s="22"/>
      <c r="F2015" s="21"/>
      <c r="G2015" s="24"/>
      <c r="H2015" s="33"/>
      <c r="I2015" s="688"/>
    </row>
    <row r="2016" spans="1:11" x14ac:dyDescent="0.25">
      <c r="A2016" s="21">
        <f>A$14</f>
        <v>1752</v>
      </c>
      <c r="B2016" s="149">
        <f t="shared" si="1112"/>
        <v>7.4755606670500289E-3</v>
      </c>
      <c r="C2016" s="20">
        <f t="shared" si="1113"/>
        <v>10</v>
      </c>
      <c r="D2016" s="21"/>
      <c r="E2016" s="22"/>
      <c r="F2016" s="26"/>
      <c r="G2016" s="25"/>
      <c r="H2016" s="145"/>
      <c r="I2016" s="688"/>
    </row>
    <row r="2017" spans="1:11" x14ac:dyDescent="0.25">
      <c r="A2017" s="21">
        <f>A$15</f>
        <v>1822</v>
      </c>
      <c r="B2017" s="149">
        <f t="shared" si="1112"/>
        <v>3.9954337899543377E-2</v>
      </c>
      <c r="C2017" s="20">
        <f t="shared" si="1113"/>
        <v>11</v>
      </c>
      <c r="D2017" s="21">
        <v>12</v>
      </c>
      <c r="E2017" s="23">
        <f>(1.62+1.37)/2</f>
        <v>1.4950000000000001</v>
      </c>
      <c r="F2017" s="21">
        <f t="shared" ref="F2017:F2021" si="1114">D2017*E2017</f>
        <v>17.940000000000001</v>
      </c>
      <c r="G2017" s="277">
        <f>'DDS Rates for Amend'!DE18</f>
        <v>2.6</v>
      </c>
      <c r="H2017" s="33">
        <f t="shared" ref="H2017:H2021" si="1115">F2017*G2017</f>
        <v>46.644000000000005</v>
      </c>
      <c r="I2017" s="688"/>
    </row>
    <row r="2018" spans="1:11" x14ac:dyDescent="0.25">
      <c r="A2018" s="21">
        <f>A$16</f>
        <v>1872</v>
      </c>
      <c r="B2018" s="149">
        <f t="shared" si="1112"/>
        <v>2.7442371020856202E-2</v>
      </c>
      <c r="C2018" s="20">
        <f t="shared" si="1113"/>
        <v>12</v>
      </c>
      <c r="D2018" s="21">
        <v>20</v>
      </c>
      <c r="E2018" s="23">
        <f t="shared" ref="E2018:E2021" si="1116">(1.62+1.37)/2</f>
        <v>1.4950000000000001</v>
      </c>
      <c r="F2018" s="21">
        <f t="shared" si="1114"/>
        <v>29.900000000000002</v>
      </c>
      <c r="G2018" s="277">
        <f>'DDS Rates for Amend'!DE19</f>
        <v>2.6676000000000002</v>
      </c>
      <c r="H2018" s="33">
        <f t="shared" si="1115"/>
        <v>79.761240000000015</v>
      </c>
      <c r="I2018" s="688"/>
    </row>
    <row r="2019" spans="1:11" x14ac:dyDescent="0.25">
      <c r="A2019" s="21">
        <f>A$17</f>
        <v>1902</v>
      </c>
      <c r="B2019" s="149">
        <f t="shared" si="1112"/>
        <v>1.6025641025641024E-2</v>
      </c>
      <c r="C2019" s="20">
        <f t="shared" si="1113"/>
        <v>13</v>
      </c>
      <c r="D2019" s="21">
        <v>20</v>
      </c>
      <c r="E2019" s="23">
        <f t="shared" si="1116"/>
        <v>1.4950000000000001</v>
      </c>
      <c r="F2019" s="21">
        <f t="shared" si="1114"/>
        <v>29.900000000000002</v>
      </c>
      <c r="G2019" s="277">
        <f>'DDS Rates for Amend'!DE20</f>
        <v>2.7369576000000002</v>
      </c>
      <c r="H2019" s="33">
        <f t="shared" si="1115"/>
        <v>81.835032240000018</v>
      </c>
      <c r="I2019" s="688"/>
    </row>
    <row r="2020" spans="1:11" x14ac:dyDescent="0.25">
      <c r="A2020" s="21">
        <f>A$18</f>
        <v>1932</v>
      </c>
      <c r="B2020" s="149">
        <f t="shared" si="1112"/>
        <v>1.5772870662460567E-2</v>
      </c>
      <c r="C2020" s="20">
        <f t="shared" si="1113"/>
        <v>14</v>
      </c>
      <c r="D2020" s="21">
        <v>32</v>
      </c>
      <c r="E2020" s="23">
        <f t="shared" si="1116"/>
        <v>1.4950000000000001</v>
      </c>
      <c r="F2020" s="21">
        <f t="shared" si="1114"/>
        <v>47.84</v>
      </c>
      <c r="G2020" s="277">
        <f>'DDS Rates for Amend'!DE21</f>
        <v>2.8081184976000002</v>
      </c>
      <c r="H2020" s="33">
        <f t="shared" si="1115"/>
        <v>134.34038892518402</v>
      </c>
      <c r="I2020" s="688"/>
    </row>
    <row r="2021" spans="1:11" x14ac:dyDescent="0.25">
      <c r="A2021" s="21">
        <f>A$19</f>
        <v>1962</v>
      </c>
      <c r="B2021" s="149">
        <f t="shared" si="1112"/>
        <v>1.5527950310559006E-2</v>
      </c>
      <c r="C2021" s="20">
        <f t="shared" si="1113"/>
        <v>15</v>
      </c>
      <c r="D2021" s="21">
        <v>32</v>
      </c>
      <c r="E2021" s="23">
        <f t="shared" si="1116"/>
        <v>1.4950000000000001</v>
      </c>
      <c r="F2021" s="21">
        <f t="shared" si="1114"/>
        <v>47.84</v>
      </c>
      <c r="G2021" s="277">
        <f>'DDS Rates for Amend'!DE22</f>
        <v>2.8811295785376001</v>
      </c>
      <c r="H2021" s="33">
        <f t="shared" si="1115"/>
        <v>137.8332390372388</v>
      </c>
      <c r="I2021" s="689"/>
      <c r="K2021" s="285">
        <f>SUM(H2007:H2021)</f>
        <v>480.41390020242284</v>
      </c>
    </row>
  </sheetData>
  <customSheetViews>
    <customSheetView guid="{B6305DA3-A032-4F38-BA31-37F5B3FAC8B9}" scale="85" hiddenColumns="1" topLeftCell="A109">
      <selection activeCell="D124" sqref="D124"/>
      <pageMargins left="0.7" right="0.7" top="0.75" bottom="0.75" header="0.3" footer="0.3"/>
      <printOptions horizontalCentered="1"/>
      <pageSetup scale="71" orientation="landscape" r:id="rId1"/>
      <headerFooter alignWithMargins="0">
        <oddHeader>&amp;RDRAFT</oddHeader>
        <oddFooter xml:space="preserve">&amp;L&amp;Z&amp;F
&amp;A&amp;R&amp;D
Page &amp;P of &amp;N
</oddFooter>
      </headerFooter>
    </customSheetView>
    <customSheetView guid="{BE213145-94B6-4D67-83E8-F1C2631C8B17}" scale="85" showPageBreaks="1" printArea="1" hiddenColumns="1" topLeftCell="A1189">
      <selection activeCell="C1203" sqref="C1203"/>
      <pageMargins left="0.7" right="0.7" top="0.75" bottom="0.75" header="0.3" footer="0.3"/>
      <printOptions horizontalCentered="1"/>
      <pageSetup scale="71" orientation="landscape" r:id="rId2"/>
      <headerFooter alignWithMargins="0">
        <oddHeader>&amp;RDRAFT</oddHeader>
        <oddFooter xml:space="preserve">&amp;L&amp;Z&amp;F
&amp;A&amp;R&amp;D
Page &amp;P of &amp;N
</oddFooter>
      </headerFooter>
    </customSheetView>
  </customSheetViews>
  <mergeCells count="304">
    <mergeCell ref="F1951:H1951"/>
    <mergeCell ref="I1951:I1967"/>
    <mergeCell ref="F1969:H1969"/>
    <mergeCell ref="I1969:I1985"/>
    <mergeCell ref="F1987:H1987"/>
    <mergeCell ref="I1987:I2003"/>
    <mergeCell ref="F2005:H2005"/>
    <mergeCell ref="I2005:I2021"/>
    <mergeCell ref="N1085:Y1085"/>
    <mergeCell ref="I1861:I1877"/>
    <mergeCell ref="I1493:I1509"/>
    <mergeCell ref="I1511:I1527"/>
    <mergeCell ref="I1529:I1545"/>
    <mergeCell ref="I1547:I1563"/>
    <mergeCell ref="I1565:I1581"/>
    <mergeCell ref="I1583:I1599"/>
    <mergeCell ref="I1601:I1617"/>
    <mergeCell ref="I1619:I1635"/>
    <mergeCell ref="I1686:I1697"/>
    <mergeCell ref="I1673:I1684"/>
    <mergeCell ref="I1717:I1733"/>
    <mergeCell ref="I1735:I1751"/>
    <mergeCell ref="I1753:I1769"/>
    <mergeCell ref="I1637:I1653"/>
    <mergeCell ref="I273:I289"/>
    <mergeCell ref="F1807:H1807"/>
    <mergeCell ref="I1807:I1823"/>
    <mergeCell ref="F1825:H1825"/>
    <mergeCell ref="I1825:I1841"/>
    <mergeCell ref="F1843:H1843"/>
    <mergeCell ref="I1843:I1859"/>
    <mergeCell ref="I1421:I1437"/>
    <mergeCell ref="I1439:I1455"/>
    <mergeCell ref="I1457:I1473"/>
    <mergeCell ref="I1079:I1095"/>
    <mergeCell ref="I1097:I1113"/>
    <mergeCell ref="I1115:I1131"/>
    <mergeCell ref="I327:I338"/>
    <mergeCell ref="I340:I351"/>
    <mergeCell ref="I1061:I1077"/>
    <mergeCell ref="I575:I591"/>
    <mergeCell ref="F1421:H1421"/>
    <mergeCell ref="F1439:H1439"/>
    <mergeCell ref="F1655:H1655"/>
    <mergeCell ref="F1673:H1673"/>
    <mergeCell ref="F1686:H1686"/>
    <mergeCell ref="F1699:H1699"/>
    <mergeCell ref="I1475:I1491"/>
    <mergeCell ref="A2:H2"/>
    <mergeCell ref="A1:H1"/>
    <mergeCell ref="I1:I2"/>
    <mergeCell ref="I1133:I1149"/>
    <mergeCell ref="I1151:I1167"/>
    <mergeCell ref="I1169:I1185"/>
    <mergeCell ref="I1187:I1203"/>
    <mergeCell ref="I1205:I1221"/>
    <mergeCell ref="I1223:I1239"/>
    <mergeCell ref="I755:I771"/>
    <mergeCell ref="I773:I789"/>
    <mergeCell ref="I791:I807"/>
    <mergeCell ref="I809:I825"/>
    <mergeCell ref="I971:I987"/>
    <mergeCell ref="I989:I1005"/>
    <mergeCell ref="I1007:I1023"/>
    <mergeCell ref="I1025:I1041"/>
    <mergeCell ref="I1043:I1059"/>
    <mergeCell ref="I165:I181"/>
    <mergeCell ref="I183:I199"/>
    <mergeCell ref="I482:I493"/>
    <mergeCell ref="I397:I408"/>
    <mergeCell ref="I371:I382"/>
    <mergeCell ref="I384:I395"/>
    <mergeCell ref="I1655:I1671"/>
    <mergeCell ref="I1699:I1715"/>
    <mergeCell ref="I1879:I1895"/>
    <mergeCell ref="I1897:I1913"/>
    <mergeCell ref="I464:I480"/>
    <mergeCell ref="I495:I511"/>
    <mergeCell ref="I593:I609"/>
    <mergeCell ref="I513:I529"/>
    <mergeCell ref="I544:I560"/>
    <mergeCell ref="I827:I843"/>
    <mergeCell ref="I845:I861"/>
    <mergeCell ref="I863:I879"/>
    <mergeCell ref="I881:I897"/>
    <mergeCell ref="I899:I915"/>
    <mergeCell ref="I917:I933"/>
    <mergeCell ref="I562:I573"/>
    <mergeCell ref="I531:I542"/>
    <mergeCell ref="I935:I951"/>
    <mergeCell ref="I953:I969"/>
    <mergeCell ref="I647:I663"/>
    <mergeCell ref="I665:I681"/>
    <mergeCell ref="I683:I699"/>
    <mergeCell ref="I701:I717"/>
    <mergeCell ref="I719:I735"/>
    <mergeCell ref="I1771:I1787"/>
    <mergeCell ref="I1789:I1805"/>
    <mergeCell ref="A1673:E1673"/>
    <mergeCell ref="I1915:I1931"/>
    <mergeCell ref="I3:I19"/>
    <mergeCell ref="I21:I37"/>
    <mergeCell ref="I39:I55"/>
    <mergeCell ref="I57:I73"/>
    <mergeCell ref="I75:I91"/>
    <mergeCell ref="I93:I109"/>
    <mergeCell ref="I111:I127"/>
    <mergeCell ref="I129:I145"/>
    <mergeCell ref="I147:I163"/>
    <mergeCell ref="I611:I627"/>
    <mergeCell ref="I629:I645"/>
    <mergeCell ref="I219:I235"/>
    <mergeCell ref="I237:I253"/>
    <mergeCell ref="I255:I271"/>
    <mergeCell ref="I291:I307"/>
    <mergeCell ref="I309:I325"/>
    <mergeCell ref="I353:I369"/>
    <mergeCell ref="I737:I753"/>
    <mergeCell ref="I410:I426"/>
    <mergeCell ref="I428:I444"/>
    <mergeCell ref="I446:I462"/>
    <mergeCell ref="F1187:H1187"/>
    <mergeCell ref="F1879:H1879"/>
    <mergeCell ref="F1897:H1897"/>
    <mergeCell ref="F1915:H1915"/>
    <mergeCell ref="F1771:H1771"/>
    <mergeCell ref="F1789:H1789"/>
    <mergeCell ref="F1861:H1861"/>
    <mergeCell ref="F1753:H1753"/>
    <mergeCell ref="F1717:H1717"/>
    <mergeCell ref="F1735:H1735"/>
    <mergeCell ref="F1475:H1475"/>
    <mergeCell ref="F1529:H1529"/>
    <mergeCell ref="F1547:H1547"/>
    <mergeCell ref="F1637:H1637"/>
    <mergeCell ref="F1601:H1601"/>
    <mergeCell ref="F1619:H1619"/>
    <mergeCell ref="F1493:H1493"/>
    <mergeCell ref="I1403:I1419"/>
    <mergeCell ref="F1205:H1205"/>
    <mergeCell ref="F1223:H1223"/>
    <mergeCell ref="F1367:H1367"/>
    <mergeCell ref="F1385:H1385"/>
    <mergeCell ref="I1295:I1311"/>
    <mergeCell ref="I1241:I1257"/>
    <mergeCell ref="I1259:I1275"/>
    <mergeCell ref="I1277:I1293"/>
    <mergeCell ref="I1313:I1329"/>
    <mergeCell ref="I1331:I1347"/>
    <mergeCell ref="I1349:I1365"/>
    <mergeCell ref="I1367:I1383"/>
    <mergeCell ref="I1385:I1401"/>
    <mergeCell ref="F1349:H1349"/>
    <mergeCell ref="A371:D371"/>
    <mergeCell ref="A384:D384"/>
    <mergeCell ref="A327:D327"/>
    <mergeCell ref="A340:D340"/>
    <mergeCell ref="A482:D482"/>
    <mergeCell ref="A495:D495"/>
    <mergeCell ref="A513:D513"/>
    <mergeCell ref="F683:H683"/>
    <mergeCell ref="F701:H701"/>
    <mergeCell ref="F327:H327"/>
    <mergeCell ref="F340:H340"/>
    <mergeCell ref="F353:H353"/>
    <mergeCell ref="F410:H410"/>
    <mergeCell ref="F428:H428"/>
    <mergeCell ref="F384:H384"/>
    <mergeCell ref="F397:H397"/>
    <mergeCell ref="F371:H371"/>
    <mergeCell ref="F611:H611"/>
    <mergeCell ref="F446:H446"/>
    <mergeCell ref="F513:H513"/>
    <mergeCell ref="F464:H464"/>
    <mergeCell ref="F482:H482"/>
    <mergeCell ref="F495:H495"/>
    <mergeCell ref="F544:H544"/>
    <mergeCell ref="A3:C3"/>
    <mergeCell ref="A21:C21"/>
    <mergeCell ref="F291:H291"/>
    <mergeCell ref="F309:H309"/>
    <mergeCell ref="F219:H219"/>
    <mergeCell ref="F3:H3"/>
    <mergeCell ref="F93:H93"/>
    <mergeCell ref="F111:H111"/>
    <mergeCell ref="F21:H21"/>
    <mergeCell ref="F39:H39"/>
    <mergeCell ref="F75:H75"/>
    <mergeCell ref="A39:C39"/>
    <mergeCell ref="A75:C75"/>
    <mergeCell ref="F165:H165"/>
    <mergeCell ref="F255:H255"/>
    <mergeCell ref="F237:H237"/>
    <mergeCell ref="A93:C93"/>
    <mergeCell ref="A57:C57"/>
    <mergeCell ref="F129:H129"/>
    <mergeCell ref="F183:H183"/>
    <mergeCell ref="F57:H57"/>
    <mergeCell ref="F147:H147"/>
    <mergeCell ref="F201:H201"/>
    <mergeCell ref="A397:D397"/>
    <mergeCell ref="F1007:H1007"/>
    <mergeCell ref="F531:H531"/>
    <mergeCell ref="A531:D531"/>
    <mergeCell ref="F719:H719"/>
    <mergeCell ref="F737:H737"/>
    <mergeCell ref="F881:H881"/>
    <mergeCell ref="F899:H899"/>
    <mergeCell ref="F755:H755"/>
    <mergeCell ref="A562:D562"/>
    <mergeCell ref="F575:H575"/>
    <mergeCell ref="F593:H593"/>
    <mergeCell ref="F917:H917"/>
    <mergeCell ref="F827:H827"/>
    <mergeCell ref="F845:H845"/>
    <mergeCell ref="F863:H863"/>
    <mergeCell ref="F809:H809"/>
    <mergeCell ref="F562:H562"/>
    <mergeCell ref="F1025:H1025"/>
    <mergeCell ref="F935:H935"/>
    <mergeCell ref="F953:H953"/>
    <mergeCell ref="F971:H971"/>
    <mergeCell ref="F791:H791"/>
    <mergeCell ref="F665:H665"/>
    <mergeCell ref="F629:H629"/>
    <mergeCell ref="F647:H647"/>
    <mergeCell ref="F1169:H1169"/>
    <mergeCell ref="I201:I217"/>
    <mergeCell ref="F1933:H1933"/>
    <mergeCell ref="I1933:I1949"/>
    <mergeCell ref="A1686:E1686"/>
    <mergeCell ref="F1583:H1583"/>
    <mergeCell ref="F1565:H1565"/>
    <mergeCell ref="F1511:H1511"/>
    <mergeCell ref="F1457:H1457"/>
    <mergeCell ref="F773:H773"/>
    <mergeCell ref="F989:H989"/>
    <mergeCell ref="F1295:H1295"/>
    <mergeCell ref="F1259:H1259"/>
    <mergeCell ref="F1241:H1241"/>
    <mergeCell ref="F1151:H1151"/>
    <mergeCell ref="F1043:H1043"/>
    <mergeCell ref="F1079:H1079"/>
    <mergeCell ref="F1097:H1097"/>
    <mergeCell ref="F1115:H1115"/>
    <mergeCell ref="F1133:H1133"/>
    <mergeCell ref="F1061:H1061"/>
    <mergeCell ref="F1313:H1313"/>
    <mergeCell ref="F1331:H1331"/>
    <mergeCell ref="F1277:H1277"/>
    <mergeCell ref="F1403:H1403"/>
    <mergeCell ref="U1052:V1052"/>
    <mergeCell ref="W1052:X1052"/>
    <mergeCell ref="U836:V836"/>
    <mergeCell ref="T1033:X1033"/>
    <mergeCell ref="U1034:V1034"/>
    <mergeCell ref="W1034:X1034"/>
    <mergeCell ref="T1015:X1015"/>
    <mergeCell ref="U1016:V1016"/>
    <mergeCell ref="W1016:X1016"/>
    <mergeCell ref="T997:X997"/>
    <mergeCell ref="U998:V998"/>
    <mergeCell ref="W998:X998"/>
    <mergeCell ref="T943:X943"/>
    <mergeCell ref="U944:V944"/>
    <mergeCell ref="W944:X944"/>
    <mergeCell ref="T925:X925"/>
    <mergeCell ref="U926:V926"/>
    <mergeCell ref="W926:X926"/>
    <mergeCell ref="T907:X907"/>
    <mergeCell ref="T800:U800"/>
    <mergeCell ref="V800:W800"/>
    <mergeCell ref="T835:X835"/>
    <mergeCell ref="W836:X836"/>
    <mergeCell ref="T871:X871"/>
    <mergeCell ref="U872:V872"/>
    <mergeCell ref="W872:X872"/>
    <mergeCell ref="T853:X853"/>
    <mergeCell ref="U854:V854"/>
    <mergeCell ref="W854:X854"/>
    <mergeCell ref="AM825:AO825"/>
    <mergeCell ref="AP825:AR825"/>
    <mergeCell ref="AS825:AU825"/>
    <mergeCell ref="AV825:AX825"/>
    <mergeCell ref="AY825:BA825"/>
    <mergeCell ref="BB825:BD825"/>
    <mergeCell ref="T1609:X1609"/>
    <mergeCell ref="U1610:V1610"/>
    <mergeCell ref="W1610:X1610"/>
    <mergeCell ref="U908:V908"/>
    <mergeCell ref="W908:X908"/>
    <mergeCell ref="T889:X889"/>
    <mergeCell ref="U890:V890"/>
    <mergeCell ref="W890:X890"/>
    <mergeCell ref="T979:X979"/>
    <mergeCell ref="U980:V980"/>
    <mergeCell ref="W980:X980"/>
    <mergeCell ref="T961:X961"/>
    <mergeCell ref="U962:V962"/>
    <mergeCell ref="W962:X962"/>
    <mergeCell ref="U1070:V1070"/>
    <mergeCell ref="W1070:X1070"/>
    <mergeCell ref="T1069:X1069"/>
    <mergeCell ref="T1051:X1051"/>
  </mergeCells>
  <phoneticPr fontId="6" type="noConversion"/>
  <printOptions horizontalCentered="1"/>
  <pageMargins left="0.7" right="0.7" top="0.75" bottom="0.75" header="0.3" footer="0.3"/>
  <pageSetup scale="90" orientation="landscape" r:id="rId3"/>
  <headerFooter alignWithMargins="0">
    <oddHeader>&amp;RFINAL</oddHeader>
    <oddFooter xml:space="preserve">&amp;L&amp;Z&amp;F
&amp;A&amp;R&amp;D
Page &amp;P of &amp;N
</oddFooter>
  </headerFooter>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249977111117893"/>
    <pageSetUpPr fitToPage="1"/>
  </sheetPr>
  <dimension ref="A1:U26"/>
  <sheetViews>
    <sheetView workbookViewId="0">
      <selection sqref="A1:P17"/>
    </sheetView>
  </sheetViews>
  <sheetFormatPr defaultColWidth="8.85546875" defaultRowHeight="15" x14ac:dyDescent="0.25"/>
  <cols>
    <col min="1" max="1" width="39.7109375" bestFit="1" customWidth="1"/>
    <col min="2" max="3" width="11.85546875" bestFit="1" customWidth="1"/>
    <col min="4" max="4" width="13.5703125" bestFit="1" customWidth="1"/>
    <col min="5" max="9" width="12.5703125" bestFit="1" customWidth="1"/>
    <col min="10" max="10" width="13.42578125" bestFit="1" customWidth="1"/>
    <col min="11" max="11" width="14.42578125" bestFit="1" customWidth="1"/>
    <col min="12" max="16" width="14.42578125" customWidth="1"/>
    <col min="18" max="21" width="0" hidden="1" customWidth="1"/>
  </cols>
  <sheetData>
    <row r="1" spans="1:21" ht="30.75" thickBot="1" x14ac:dyDescent="0.3">
      <c r="B1" s="37" t="s">
        <v>140</v>
      </c>
      <c r="C1" s="37" t="s">
        <v>141</v>
      </c>
      <c r="D1" s="37" t="s">
        <v>142</v>
      </c>
      <c r="E1" s="37" t="s">
        <v>143</v>
      </c>
      <c r="F1" s="37" t="s">
        <v>144</v>
      </c>
      <c r="G1" s="37" t="s">
        <v>10</v>
      </c>
      <c r="H1" s="37" t="s">
        <v>11</v>
      </c>
      <c r="I1" s="37" t="s">
        <v>12</v>
      </c>
      <c r="J1" s="37" t="s">
        <v>13</v>
      </c>
      <c r="K1" s="37" t="s">
        <v>14</v>
      </c>
      <c r="L1" s="37" t="s">
        <v>223</v>
      </c>
      <c r="M1" s="37" t="s">
        <v>224</v>
      </c>
      <c r="N1" s="37" t="s">
        <v>226</v>
      </c>
      <c r="O1" s="37" t="s">
        <v>225</v>
      </c>
      <c r="P1" s="37" t="s">
        <v>227</v>
      </c>
    </row>
    <row r="2" spans="1:21" ht="15.75" thickBot="1" x14ac:dyDescent="0.3">
      <c r="B2" s="732" t="s">
        <v>250</v>
      </c>
      <c r="C2" s="733"/>
      <c r="D2" s="733"/>
      <c r="E2" s="733"/>
      <c r="F2" s="734"/>
      <c r="G2" s="732" t="s">
        <v>249</v>
      </c>
      <c r="H2" s="733"/>
      <c r="I2" s="733"/>
      <c r="J2" s="733"/>
      <c r="K2" s="734"/>
      <c r="L2" s="732" t="s">
        <v>248</v>
      </c>
      <c r="M2" s="733"/>
      <c r="N2" s="733"/>
      <c r="O2" s="733"/>
      <c r="P2" s="734"/>
    </row>
    <row r="3" spans="1:21" x14ac:dyDescent="0.25">
      <c r="B3" s="169">
        <v>1</v>
      </c>
      <c r="C3" s="169">
        <v>2</v>
      </c>
      <c r="D3" s="169">
        <v>3</v>
      </c>
      <c r="E3" s="169">
        <v>4</v>
      </c>
      <c r="F3" s="169">
        <v>5</v>
      </c>
      <c r="G3" s="169">
        <v>1</v>
      </c>
      <c r="H3" s="169">
        <v>2</v>
      </c>
      <c r="I3" s="169">
        <v>3</v>
      </c>
      <c r="J3" s="169">
        <v>4</v>
      </c>
      <c r="K3" s="169">
        <v>5</v>
      </c>
      <c r="L3" s="169">
        <v>1</v>
      </c>
      <c r="M3" s="169">
        <v>2</v>
      </c>
      <c r="N3" s="169">
        <v>3</v>
      </c>
      <c r="O3" s="169">
        <v>4</v>
      </c>
      <c r="P3" s="169">
        <v>5</v>
      </c>
    </row>
    <row r="4" spans="1:21" x14ac:dyDescent="0.25">
      <c r="A4" s="13" t="s">
        <v>166</v>
      </c>
      <c r="B4" s="275">
        <v>1</v>
      </c>
      <c r="C4" s="275">
        <f t="shared" ref="C4:P4" si="0">B4+1</f>
        <v>2</v>
      </c>
      <c r="D4" s="275">
        <f t="shared" si="0"/>
        <v>3</v>
      </c>
      <c r="E4" s="275">
        <f t="shared" si="0"/>
        <v>4</v>
      </c>
      <c r="F4" s="275">
        <f t="shared" si="0"/>
        <v>5</v>
      </c>
      <c r="G4" s="275">
        <f t="shared" si="0"/>
        <v>6</v>
      </c>
      <c r="H4" s="275">
        <f t="shared" si="0"/>
        <v>7</v>
      </c>
      <c r="I4" s="275">
        <f t="shared" si="0"/>
        <v>8</v>
      </c>
      <c r="J4" s="275">
        <f t="shared" si="0"/>
        <v>9</v>
      </c>
      <c r="K4" s="14">
        <f t="shared" si="0"/>
        <v>10</v>
      </c>
      <c r="L4" s="14">
        <f t="shared" si="0"/>
        <v>11</v>
      </c>
      <c r="M4" s="14">
        <f t="shared" si="0"/>
        <v>12</v>
      </c>
      <c r="N4" s="14">
        <f t="shared" si="0"/>
        <v>13</v>
      </c>
      <c r="O4" s="14">
        <f t="shared" si="0"/>
        <v>14</v>
      </c>
      <c r="P4" s="14">
        <f t="shared" si="0"/>
        <v>15</v>
      </c>
    </row>
    <row r="5" spans="1:21" x14ac:dyDescent="0.25">
      <c r="A5" s="12" t="s">
        <v>161</v>
      </c>
      <c r="B5" s="26">
        <f>'linked - DO NOT USE or DELETE'!H81</f>
        <v>1182</v>
      </c>
      <c r="C5" s="26">
        <f>'linked - DO NOT USE or DELETE'!M81</f>
        <v>1288</v>
      </c>
      <c r="D5" s="26">
        <f>'linked - DO NOT USE or DELETE'!R81</f>
        <v>1495</v>
      </c>
      <c r="E5" s="26">
        <f>'Appendix J-2'!W116</f>
        <v>1484</v>
      </c>
      <c r="F5" s="26">
        <f>'Appendix J-2'!AB116</f>
        <v>1528</v>
      </c>
      <c r="G5" s="26">
        <f>'Appendix J-2'!AG116</f>
        <v>1592</v>
      </c>
      <c r="H5" s="26">
        <f>'Appendix J-2'!AL116</f>
        <v>1642</v>
      </c>
      <c r="I5" s="26">
        <f>'Appendix J-2'!AQ116</f>
        <v>1675</v>
      </c>
      <c r="J5" s="26">
        <f>'Appendix J-2'!AV116</f>
        <v>1739</v>
      </c>
      <c r="K5" s="233">
        <v>1752</v>
      </c>
      <c r="L5" s="233">
        <f>B20</f>
        <v>1822</v>
      </c>
      <c r="M5" s="233">
        <f>B21</f>
        <v>1872</v>
      </c>
      <c r="N5" s="233">
        <f>B22</f>
        <v>1902</v>
      </c>
      <c r="O5" s="233">
        <f>B23</f>
        <v>1932</v>
      </c>
      <c r="P5" s="233">
        <f>B24</f>
        <v>1962</v>
      </c>
    </row>
    <row r="6" spans="1:21" x14ac:dyDescent="0.25">
      <c r="A6" s="12" t="s">
        <v>164</v>
      </c>
      <c r="B6" s="26">
        <f>'linked - DO NOT USE or DELETE'!H83</f>
        <v>346510</v>
      </c>
      <c r="C6" s="26">
        <f>'linked - DO NOT USE or DELETE'!M83</f>
        <v>407368</v>
      </c>
      <c r="D6" s="26">
        <f>'linked - DO NOT USE or DELETE'!R83</f>
        <v>476960</v>
      </c>
      <c r="E6" s="26">
        <f>'Appendix J-2'!W118</f>
        <v>513419</v>
      </c>
      <c r="F6" s="26">
        <f>'Appendix J-2'!AB118</f>
        <v>512212</v>
      </c>
      <c r="G6" s="26">
        <f>'Appendix J-2'!AG118</f>
        <v>576322</v>
      </c>
      <c r="H6" s="26">
        <f>'Appendix J-2'!AL118</f>
        <v>592806</v>
      </c>
      <c r="I6" s="26">
        <f>'Appendix J-2'!AQ118</f>
        <v>580688</v>
      </c>
      <c r="J6" s="26">
        <f>'Appendix J-2'!AV118</f>
        <v>594161</v>
      </c>
      <c r="K6" s="234">
        <f t="shared" ref="K6" si="1">K5*K7</f>
        <v>630997.87564074434</v>
      </c>
      <c r="L6" s="234">
        <f t="shared" ref="L6:P6" si="2">L5*L7</f>
        <v>665030</v>
      </c>
      <c r="M6" s="234">
        <f t="shared" si="2"/>
        <v>683280</v>
      </c>
      <c r="N6" s="234">
        <f t="shared" si="2"/>
        <v>694230</v>
      </c>
      <c r="O6" s="234">
        <f t="shared" si="2"/>
        <v>705180</v>
      </c>
      <c r="P6" s="234">
        <f t="shared" si="2"/>
        <v>716130</v>
      </c>
    </row>
    <row r="7" spans="1:21" x14ac:dyDescent="0.25">
      <c r="A7" s="12" t="s">
        <v>163</v>
      </c>
      <c r="B7" s="276">
        <f>B6/B5</f>
        <v>293.15566835871402</v>
      </c>
      <c r="C7" s="276">
        <f t="shared" ref="C7:D7" si="3">C6/C5</f>
        <v>316.27950310559004</v>
      </c>
      <c r="D7" s="276">
        <f t="shared" si="3"/>
        <v>319.03678929765886</v>
      </c>
      <c r="E7" s="276">
        <f>E6/E5</f>
        <v>345.96967654986526</v>
      </c>
      <c r="F7" s="276">
        <f t="shared" ref="F7:J7" si="4">F6/F5</f>
        <v>335.21727748691097</v>
      </c>
      <c r="G7" s="276">
        <f t="shared" si="4"/>
        <v>362.0113065326633</v>
      </c>
      <c r="H7" s="276">
        <f t="shared" si="4"/>
        <v>361.02679658952496</v>
      </c>
      <c r="I7" s="276">
        <f t="shared" si="4"/>
        <v>346.6794029850746</v>
      </c>
      <c r="J7" s="276">
        <f t="shared" si="4"/>
        <v>341.66820011500863</v>
      </c>
      <c r="K7" s="234">
        <f>IF(TREND($B$7:$J$7,$B$5:$J$5,K5)&lt;365,TREND($B$7:$J$7,$B$5:$J$5,K5),365)</f>
        <v>360.15860481777645</v>
      </c>
      <c r="L7" s="234">
        <f t="shared" ref="L7:P7" si="5">IF(TREND($B$7:$J$7,$B$5:$J$5,L5)&lt;365,TREND($B$7:$J$7,$B$5:$J$5,L5),365)</f>
        <v>365</v>
      </c>
      <c r="M7" s="234">
        <f t="shared" si="5"/>
        <v>365</v>
      </c>
      <c r="N7" s="234">
        <f t="shared" si="5"/>
        <v>365</v>
      </c>
      <c r="O7" s="234">
        <f t="shared" si="5"/>
        <v>365</v>
      </c>
      <c r="P7" s="234">
        <f t="shared" si="5"/>
        <v>365</v>
      </c>
    </row>
    <row r="8" spans="1:21" x14ac:dyDescent="0.25">
      <c r="A8" s="11" t="s">
        <v>168</v>
      </c>
      <c r="B8" s="25">
        <f>'linked - DO NOT USE or DELETE'!H85</f>
        <v>30020</v>
      </c>
      <c r="C8" s="25">
        <f>'linked - DO NOT USE or DELETE'!M85</f>
        <v>29768.98</v>
      </c>
      <c r="D8" s="25">
        <f>'linked - DO NOT USE or DELETE'!R85</f>
        <v>25589.66</v>
      </c>
      <c r="E8" s="277">
        <f>'Appendix J-2'!W120</f>
        <v>26087.119999999999</v>
      </c>
      <c r="F8" s="277">
        <f>'Appendix J-2'!AB120</f>
        <v>21905.46</v>
      </c>
      <c r="G8" s="277">
        <f>'Appendix J-2'!AG120</f>
        <v>23745.06</v>
      </c>
      <c r="H8" s="277">
        <f>'Appendix J-2'!AL120</f>
        <v>11883.19</v>
      </c>
      <c r="I8" s="277">
        <f>'Appendix J-2'!AQ120</f>
        <v>10967.65</v>
      </c>
      <c r="J8" s="277">
        <f>'Appendix J-2'!AV120</f>
        <v>10510.96</v>
      </c>
      <c r="K8" s="235">
        <f t="shared" ref="K8:P8" si="6">J8*1.027</f>
        <v>10794.755919999998</v>
      </c>
      <c r="L8" s="235">
        <f t="shared" si="6"/>
        <v>11086.214329839997</v>
      </c>
      <c r="M8" s="235">
        <f t="shared" si="6"/>
        <v>11385.542116745675</v>
      </c>
      <c r="N8" s="235">
        <f t="shared" si="6"/>
        <v>11692.951753897807</v>
      </c>
      <c r="O8" s="235">
        <f t="shared" si="6"/>
        <v>12008.661451253047</v>
      </c>
      <c r="P8" s="235">
        <f t="shared" si="6"/>
        <v>12332.895310436877</v>
      </c>
      <c r="R8" s="717" t="s">
        <v>350</v>
      </c>
      <c r="S8" s="718"/>
      <c r="T8" s="718"/>
      <c r="U8" s="719"/>
    </row>
    <row r="9" spans="1:21" x14ac:dyDescent="0.25">
      <c r="A9" s="11" t="s">
        <v>169</v>
      </c>
      <c r="B9" s="25">
        <f>'linked - DO NOT USE or DELETE'!H86</f>
        <v>115181.02</v>
      </c>
      <c r="C9" s="25">
        <f>'linked - DO NOT USE or DELETE'!M86</f>
        <v>133363.43</v>
      </c>
      <c r="D9" s="25">
        <f>'linked - DO NOT USE or DELETE'!R86</f>
        <v>10885.76</v>
      </c>
      <c r="E9" s="277">
        <f>'Appendix J-2'!W121</f>
        <v>142178.81</v>
      </c>
      <c r="F9" s="277">
        <f>'Appendix J-2'!AB121</f>
        <v>150571.22</v>
      </c>
      <c r="G9" s="277">
        <f>'Appendix J-2'!AG121</f>
        <v>241743.79</v>
      </c>
      <c r="H9" s="277">
        <f>'Appendix J-2'!AL121</f>
        <v>278047.31</v>
      </c>
      <c r="I9" s="277">
        <f>'Appendix J-2'!AQ121</f>
        <v>272519.90999999997</v>
      </c>
      <c r="J9" s="277">
        <f>'Appendix J-2'!AV121</f>
        <v>272965.86</v>
      </c>
      <c r="K9" s="235">
        <f>TREND($G9:$J9,$G$4:$J$4,K$4)</f>
        <v>288353.92000000004</v>
      </c>
      <c r="L9" s="235">
        <f t="shared" ref="L9:P9" si="7">TREND($G9:$J9,$G$4:$J$4,L$4)</f>
        <v>297167.80099999998</v>
      </c>
      <c r="M9" s="235">
        <f t="shared" si="7"/>
        <v>305981.68199999997</v>
      </c>
      <c r="N9" s="235">
        <f t="shared" si="7"/>
        <v>314795.56299999997</v>
      </c>
      <c r="O9" s="235">
        <f t="shared" si="7"/>
        <v>323609.44399999996</v>
      </c>
      <c r="P9" s="235">
        <f t="shared" si="7"/>
        <v>332423.32499999995</v>
      </c>
      <c r="R9" s="720"/>
      <c r="S9" s="721"/>
      <c r="T9" s="721"/>
      <c r="U9" s="722"/>
    </row>
    <row r="10" spans="1:21" x14ac:dyDescent="0.25">
      <c r="A10" s="11" t="s">
        <v>170</v>
      </c>
      <c r="B10" s="25">
        <f>'linked - DO NOT USE or DELETE'!H87</f>
        <v>46844.959999999999</v>
      </c>
      <c r="C10" s="25">
        <f>'linked - DO NOT USE or DELETE'!M87</f>
        <v>38281.78</v>
      </c>
      <c r="D10" s="25">
        <f>'linked - DO NOT USE or DELETE'!R87</f>
        <v>1660284.97</v>
      </c>
      <c r="E10" s="277">
        <f>'Appendix J-2'!W122</f>
        <v>36990.32</v>
      </c>
      <c r="F10" s="277">
        <f>'Appendix J-2'!AB122</f>
        <v>34663.89</v>
      </c>
      <c r="G10" s="277">
        <f>'Appendix J-2'!AG122</f>
        <v>12201.09</v>
      </c>
      <c r="H10" s="277">
        <f>'Appendix J-2'!AL122</f>
        <v>9918.49</v>
      </c>
      <c r="I10" s="277">
        <f>'Appendix J-2'!AQ122</f>
        <v>13362.7</v>
      </c>
      <c r="J10" s="277">
        <f>'Appendix J-2'!AV122</f>
        <v>10400.98</v>
      </c>
      <c r="K10" s="235">
        <f t="shared" ref="K10:P10" si="8">J10*1.027</f>
        <v>10681.806459999998</v>
      </c>
      <c r="L10" s="235">
        <f t="shared" si="8"/>
        <v>10970.215234419997</v>
      </c>
      <c r="M10" s="235">
        <f t="shared" si="8"/>
        <v>11266.411045749335</v>
      </c>
      <c r="N10" s="235">
        <f t="shared" si="8"/>
        <v>11570.604143984567</v>
      </c>
      <c r="O10" s="235">
        <f t="shared" si="8"/>
        <v>11883.010455872149</v>
      </c>
      <c r="P10" s="235">
        <f t="shared" si="8"/>
        <v>12203.851738180696</v>
      </c>
      <c r="R10" s="723"/>
      <c r="S10" s="724"/>
      <c r="T10" s="724"/>
      <c r="U10" s="725"/>
    </row>
    <row r="11" spans="1:21" ht="15.75" thickBot="1" x14ac:dyDescent="0.3">
      <c r="B11" s="278"/>
    </row>
    <row r="12" spans="1:21" ht="15.75" thickBot="1" x14ac:dyDescent="0.3">
      <c r="B12" s="732" t="s">
        <v>250</v>
      </c>
      <c r="C12" s="733"/>
      <c r="D12" s="733"/>
      <c r="E12" s="733"/>
      <c r="F12" s="734"/>
      <c r="G12" s="732" t="s">
        <v>249</v>
      </c>
      <c r="H12" s="733"/>
      <c r="I12" s="733"/>
      <c r="J12" s="733"/>
      <c r="K12" s="734"/>
      <c r="L12" s="732" t="s">
        <v>248</v>
      </c>
      <c r="M12" s="733"/>
      <c r="N12" s="733"/>
      <c r="O12" s="733"/>
      <c r="P12" s="734"/>
    </row>
    <row r="13" spans="1:21" x14ac:dyDescent="0.25">
      <c r="B13" s="169">
        <v>1</v>
      </c>
      <c r="C13" s="169">
        <v>2</v>
      </c>
      <c r="D13" s="169">
        <v>3</v>
      </c>
      <c r="E13" s="169">
        <v>4</v>
      </c>
      <c r="F13" s="169">
        <v>5</v>
      </c>
      <c r="G13" s="169">
        <v>1</v>
      </c>
      <c r="H13" s="169">
        <v>2</v>
      </c>
      <c r="I13" s="169">
        <v>3</v>
      </c>
      <c r="J13" s="169">
        <v>4</v>
      </c>
      <c r="K13" s="169">
        <v>5</v>
      </c>
      <c r="L13" s="169">
        <v>1</v>
      </c>
      <c r="M13" s="169">
        <v>2</v>
      </c>
      <c r="N13" s="169">
        <v>3</v>
      </c>
      <c r="O13" s="169">
        <v>4</v>
      </c>
      <c r="P13" s="169">
        <v>5</v>
      </c>
    </row>
    <row r="14" spans="1:21" x14ac:dyDescent="0.25">
      <c r="A14" s="2" t="s">
        <v>186</v>
      </c>
      <c r="B14" s="14">
        <v>1</v>
      </c>
      <c r="C14" s="14">
        <f t="shared" ref="C14" si="9">B14+1</f>
        <v>2</v>
      </c>
      <c r="D14" s="14">
        <f t="shared" ref="D14" si="10">C14+1</f>
        <v>3</v>
      </c>
      <c r="E14" s="14">
        <f t="shared" ref="E14" si="11">D14+1</f>
        <v>4</v>
      </c>
      <c r="F14" s="14">
        <f t="shared" ref="F14" si="12">E14+1</f>
        <v>5</v>
      </c>
      <c r="G14" s="14">
        <f t="shared" ref="G14" si="13">F14+1</f>
        <v>6</v>
      </c>
      <c r="H14" s="14">
        <f t="shared" ref="H14" si="14">G14+1</f>
        <v>7</v>
      </c>
      <c r="I14" s="14">
        <f t="shared" ref="I14" si="15">H14+1</f>
        <v>8</v>
      </c>
      <c r="J14" s="14">
        <f t="shared" ref="J14" si="16">I14+1</f>
        <v>9</v>
      </c>
      <c r="K14" s="14">
        <f t="shared" ref="K14:P14" si="17">J14+1</f>
        <v>10</v>
      </c>
      <c r="L14" s="14">
        <f t="shared" si="17"/>
        <v>11</v>
      </c>
      <c r="M14" s="14">
        <f t="shared" si="17"/>
        <v>12</v>
      </c>
      <c r="N14" s="14">
        <f t="shared" si="17"/>
        <v>13</v>
      </c>
      <c r="O14" s="14">
        <f t="shared" si="17"/>
        <v>14</v>
      </c>
      <c r="P14" s="14">
        <f t="shared" si="17"/>
        <v>15</v>
      </c>
    </row>
    <row r="15" spans="1:21" x14ac:dyDescent="0.25">
      <c r="A15" s="41" t="s">
        <v>189</v>
      </c>
      <c r="B15" s="40" t="s">
        <v>187</v>
      </c>
      <c r="C15" s="39">
        <f>(C5-B5)/B5</f>
        <v>8.9678510998307953E-2</v>
      </c>
      <c r="D15" s="39">
        <f>(D5-C5)/C5</f>
        <v>0.16071428571428573</v>
      </c>
      <c r="E15" s="39">
        <f>(E5-D5)/D5</f>
        <v>-7.3578595317725752E-3</v>
      </c>
      <c r="F15" s="39">
        <f>(F5-E5)/E5</f>
        <v>2.9649595687331536E-2</v>
      </c>
      <c r="G15" s="39">
        <f t="shared" ref="G15:J15" si="18">(G5-F5)/F5</f>
        <v>4.1884816753926704E-2</v>
      </c>
      <c r="H15" s="39">
        <f t="shared" si="18"/>
        <v>3.1407035175879394E-2</v>
      </c>
      <c r="I15" s="39">
        <f t="shared" si="18"/>
        <v>2.0097442143727162E-2</v>
      </c>
      <c r="J15" s="39">
        <f t="shared" si="18"/>
        <v>3.8208955223880597E-2</v>
      </c>
      <c r="K15" s="2"/>
      <c r="L15" s="2"/>
      <c r="M15" s="2"/>
      <c r="N15" s="2"/>
      <c r="O15" s="2"/>
      <c r="P15" s="2"/>
      <c r="R15" s="726" t="s">
        <v>83</v>
      </c>
      <c r="S15" s="727"/>
      <c r="T15" s="727"/>
      <c r="U15" s="728"/>
    </row>
    <row r="16" spans="1:21" x14ac:dyDescent="0.25">
      <c r="A16" s="42" t="s">
        <v>188</v>
      </c>
      <c r="B16" s="2"/>
      <c r="C16" s="2"/>
      <c r="D16" s="2"/>
      <c r="E16" s="2"/>
      <c r="F16" s="2"/>
      <c r="G16" s="39"/>
      <c r="H16" s="39"/>
      <c r="I16" s="39"/>
      <c r="J16" s="39"/>
      <c r="K16" s="39">
        <f t="shared" ref="K16:L16" si="19">(K5-J5)/J5</f>
        <v>7.4755606670500289E-3</v>
      </c>
      <c r="L16" s="39">
        <f t="shared" si="19"/>
        <v>3.9954337899543377E-2</v>
      </c>
      <c r="M16" s="39">
        <f t="shared" ref="M16" si="20">(M5-L5)/L5</f>
        <v>2.7442371020856202E-2</v>
      </c>
      <c r="N16" s="39">
        <f t="shared" ref="N16" si="21">(N5-M5)/M5</f>
        <v>1.6025641025641024E-2</v>
      </c>
      <c r="O16" s="39">
        <f t="shared" ref="O16" si="22">(O5-N5)/N5</f>
        <v>1.5772870662460567E-2</v>
      </c>
      <c r="P16" s="39">
        <f t="shared" ref="P16" si="23">(P5-O5)/O5</f>
        <v>1.5527950310559006E-2</v>
      </c>
      <c r="R16" s="729"/>
      <c r="S16" s="730"/>
      <c r="T16" s="730"/>
      <c r="U16" s="731"/>
    </row>
    <row r="18" spans="1:3" hidden="1" x14ac:dyDescent="0.25"/>
    <row r="19" spans="1:3" hidden="1" x14ac:dyDescent="0.25">
      <c r="A19" s="170" t="s">
        <v>251</v>
      </c>
      <c r="B19" s="170" t="s">
        <v>252</v>
      </c>
    </row>
    <row r="20" spans="1:3" hidden="1" x14ac:dyDescent="0.25">
      <c r="A20" t="s">
        <v>253</v>
      </c>
      <c r="B20" s="92">
        <f>K5+70</f>
        <v>1822</v>
      </c>
      <c r="C20" s="444" t="s">
        <v>631</v>
      </c>
    </row>
    <row r="21" spans="1:3" hidden="1" x14ac:dyDescent="0.25">
      <c r="A21" t="s">
        <v>254</v>
      </c>
      <c r="B21" s="92">
        <f>B20+50</f>
        <v>1872</v>
      </c>
      <c r="C21" s="444" t="s">
        <v>632</v>
      </c>
    </row>
    <row r="22" spans="1:3" hidden="1" x14ac:dyDescent="0.25">
      <c r="A22" t="s">
        <v>255</v>
      </c>
      <c r="B22" s="92">
        <f>B21+30</f>
        <v>1902</v>
      </c>
      <c r="C22" s="444" t="s">
        <v>633</v>
      </c>
    </row>
    <row r="23" spans="1:3" hidden="1" x14ac:dyDescent="0.25">
      <c r="A23" t="s">
        <v>256</v>
      </c>
      <c r="B23" s="92">
        <f>B22+30</f>
        <v>1932</v>
      </c>
      <c r="C23" s="444" t="s">
        <v>634</v>
      </c>
    </row>
    <row r="24" spans="1:3" hidden="1" x14ac:dyDescent="0.25">
      <c r="A24" t="s">
        <v>257</v>
      </c>
      <c r="B24" s="92">
        <f>B23+30</f>
        <v>1962</v>
      </c>
      <c r="C24" s="444" t="s">
        <v>635</v>
      </c>
    </row>
    <row r="25" spans="1:3" hidden="1" x14ac:dyDescent="0.25">
      <c r="A25" s="38"/>
    </row>
    <row r="26" spans="1:3" hidden="1" x14ac:dyDescent="0.25">
      <c r="A26" s="38"/>
    </row>
  </sheetData>
  <customSheetViews>
    <customSheetView guid="{B6305DA3-A032-4F38-BA31-37F5B3FAC8B9}" fitToPage="1" topLeftCell="C1">
      <selection activeCell="A41" sqref="A41"/>
      <pageMargins left="0.75" right="0.75" top="1" bottom="1" header="0.5" footer="0.5"/>
      <pageSetup scale="74" orientation="landscape" r:id="rId1"/>
      <headerFooter alignWithMargins="0">
        <oddHeader>&amp;RFINAL COPY</oddHeader>
        <oddFooter>&amp;L&amp;Z&amp;F
&amp;A&amp;R&amp;D
&amp;T</oddFooter>
      </headerFooter>
    </customSheetView>
    <customSheetView guid="{BE213145-94B6-4D67-83E8-F1C2631C8B17}" showPageBreaks="1" fitToPage="1" printArea="1">
      <selection activeCell="A41" sqref="A41"/>
      <pageMargins left="0.75" right="0.75" top="1" bottom="1" header="0.5" footer="0.5"/>
      <pageSetup scale="72" orientation="landscape" r:id="rId2"/>
      <headerFooter alignWithMargins="0">
        <oddHeader>&amp;RFINAL COPY</oddHeader>
        <oddFooter>&amp;L&amp;Z&amp;F
&amp;A&amp;R&amp;D
&amp;T</oddFooter>
      </headerFooter>
    </customSheetView>
  </customSheetViews>
  <mergeCells count="8">
    <mergeCell ref="R8:U10"/>
    <mergeCell ref="R15:U16"/>
    <mergeCell ref="G2:K2"/>
    <mergeCell ref="B2:F2"/>
    <mergeCell ref="L2:P2"/>
    <mergeCell ref="B12:F12"/>
    <mergeCell ref="G12:K12"/>
    <mergeCell ref="L12:P12"/>
  </mergeCells>
  <phoneticPr fontId="6" type="noConversion"/>
  <pageMargins left="0.75" right="0.75" top="1" bottom="1" header="0.5" footer="0.5"/>
  <pageSetup scale="50" orientation="landscape" r:id="rId3"/>
  <headerFooter alignWithMargins="0">
    <oddHeader>&amp;RFINAL COPY</oddHeader>
    <oddFooter>&amp;L&amp;Z&amp;F
&amp;A&amp;R&amp;D
&amp;T</oddFooter>
  </headerFooter>
  <legacyDrawing r:id="rId4"/>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DL24"/>
  <sheetViews>
    <sheetView zoomScale="82" zoomScaleNormal="82" zoomScalePageLayoutView="80" workbookViewId="0">
      <pane xSplit="1" ySplit="10" topLeftCell="DA11" activePane="bottomRight" state="frozen"/>
      <selection pane="topRight" activeCell="B1" sqref="B1"/>
      <selection pane="bottomLeft" activeCell="A11" sqref="A11"/>
      <selection pane="bottomRight" activeCell="CE33" sqref="CE33"/>
    </sheetView>
  </sheetViews>
  <sheetFormatPr defaultColWidth="22" defaultRowHeight="15" x14ac:dyDescent="0.25"/>
  <cols>
    <col min="1" max="105" width="22" style="31"/>
    <col min="106" max="109" width="22" style="407"/>
    <col min="110" max="16384" width="22" style="31"/>
  </cols>
  <sheetData>
    <row r="1" spans="1:116" x14ac:dyDescent="0.25">
      <c r="A1" s="269" t="s">
        <v>199</v>
      </c>
      <c r="B1" s="270"/>
      <c r="C1" s="270"/>
      <c r="D1" s="132"/>
    </row>
    <row r="2" spans="1:116" x14ac:dyDescent="0.25">
      <c r="A2" s="131"/>
      <c r="B2" s="131"/>
      <c r="C2" s="131"/>
      <c r="D2" s="132"/>
    </row>
    <row r="3" spans="1:116" x14ac:dyDescent="0.25">
      <c r="A3" s="131" t="s">
        <v>17</v>
      </c>
      <c r="B3" s="131" t="s">
        <v>18</v>
      </c>
      <c r="C3" s="136">
        <v>2.3E-2</v>
      </c>
      <c r="D3" s="132"/>
    </row>
    <row r="4" spans="1:116" x14ac:dyDescent="0.25">
      <c r="A4" s="131"/>
      <c r="B4" s="131" t="s">
        <v>44</v>
      </c>
      <c r="C4" s="136">
        <v>2.1999999999999999E-2</v>
      </c>
      <c r="D4" s="132"/>
    </row>
    <row r="5" spans="1:116" x14ac:dyDescent="0.25">
      <c r="A5" s="131" t="s">
        <v>258</v>
      </c>
      <c r="B5" s="131" t="s">
        <v>243</v>
      </c>
      <c r="C5" s="136">
        <v>2.5999999999999999E-2</v>
      </c>
      <c r="D5" s="171" t="s">
        <v>270</v>
      </c>
    </row>
    <row r="6" spans="1:116" x14ac:dyDescent="0.25">
      <c r="A6" s="131" t="s">
        <v>259</v>
      </c>
      <c r="B6" s="131" t="s">
        <v>244</v>
      </c>
      <c r="C6" s="136">
        <v>2.5999999999999999E-2</v>
      </c>
      <c r="D6" s="171" t="s">
        <v>270</v>
      </c>
    </row>
    <row r="7" spans="1:116" x14ac:dyDescent="0.25">
      <c r="A7" s="131" t="s">
        <v>260</v>
      </c>
      <c r="B7" s="131" t="s">
        <v>245</v>
      </c>
      <c r="C7" s="136">
        <v>2.5999999999999999E-2</v>
      </c>
      <c r="D7" s="171" t="s">
        <v>270</v>
      </c>
    </row>
    <row r="8" spans="1:116" x14ac:dyDescent="0.25">
      <c r="A8" s="131" t="s">
        <v>261</v>
      </c>
      <c r="B8" s="131" t="s">
        <v>246</v>
      </c>
      <c r="C8" s="136">
        <v>2.5999999999999999E-2</v>
      </c>
      <c r="D8" s="171" t="s">
        <v>270</v>
      </c>
    </row>
    <row r="9" spans="1:116" ht="15.75" thickBot="1" x14ac:dyDescent="0.3">
      <c r="A9" s="131" t="s">
        <v>262</v>
      </c>
      <c r="B9" s="131" t="s">
        <v>247</v>
      </c>
      <c r="C9" s="136">
        <v>2.5999999999999999E-2</v>
      </c>
      <c r="D9" s="171" t="s">
        <v>270</v>
      </c>
    </row>
    <row r="10" spans="1:116" s="86" customFormat="1" x14ac:dyDescent="0.25">
      <c r="R10" s="735" t="s">
        <v>544</v>
      </c>
      <c r="S10" s="736"/>
      <c r="T10" s="736"/>
      <c r="U10" s="737"/>
      <c r="CP10" s="735" t="s">
        <v>543</v>
      </c>
      <c r="CQ10" s="736"/>
      <c r="CR10" s="736"/>
      <c r="CS10" s="737"/>
    </row>
    <row r="11" spans="1:116" s="264" customFormat="1" ht="45" x14ac:dyDescent="0.25">
      <c r="A11" s="254" t="s">
        <v>148</v>
      </c>
      <c r="B11" s="609" t="s">
        <v>91</v>
      </c>
      <c r="C11" s="607" t="s">
        <v>84</v>
      </c>
      <c r="D11" s="607" t="s">
        <v>90</v>
      </c>
      <c r="E11" s="607" t="s">
        <v>88</v>
      </c>
      <c r="F11" s="607" t="s">
        <v>89</v>
      </c>
      <c r="G11" s="607" t="s">
        <v>149</v>
      </c>
      <c r="H11" s="607" t="s">
        <v>193</v>
      </c>
      <c r="I11" s="607" t="s">
        <v>194</v>
      </c>
      <c r="J11" s="607" t="s">
        <v>195</v>
      </c>
      <c r="K11" s="607" t="s">
        <v>190</v>
      </c>
      <c r="L11" s="607" t="s">
        <v>191</v>
      </c>
      <c r="M11" s="607" t="s">
        <v>1037</v>
      </c>
      <c r="N11" s="607" t="s">
        <v>200</v>
      </c>
      <c r="O11" s="607" t="s">
        <v>215</v>
      </c>
      <c r="P11" s="607" t="s">
        <v>216</v>
      </c>
      <c r="Q11" s="608" t="s">
        <v>217</v>
      </c>
      <c r="R11" s="611" t="s">
        <v>92</v>
      </c>
      <c r="S11" s="265" t="s">
        <v>93</v>
      </c>
      <c r="T11" s="265" t="s">
        <v>94</v>
      </c>
      <c r="U11" s="367" t="s">
        <v>95</v>
      </c>
      <c r="V11" s="610" t="s">
        <v>214</v>
      </c>
      <c r="W11" s="607" t="s">
        <v>213</v>
      </c>
      <c r="X11" s="607" t="s">
        <v>212</v>
      </c>
      <c r="Y11" s="607" t="s">
        <v>218</v>
      </c>
      <c r="Z11" s="607" t="s">
        <v>219</v>
      </c>
      <c r="AA11" s="607" t="s">
        <v>132</v>
      </c>
      <c r="AB11" s="607" t="s">
        <v>133</v>
      </c>
      <c r="AC11" s="607" t="s">
        <v>220</v>
      </c>
      <c r="AD11" s="607" t="s">
        <v>221</v>
      </c>
      <c r="AE11" s="265" t="s">
        <v>85</v>
      </c>
      <c r="AF11" s="607" t="s">
        <v>96</v>
      </c>
      <c r="AG11" s="607" t="s">
        <v>97</v>
      </c>
      <c r="AH11" s="607" t="s">
        <v>1040</v>
      </c>
      <c r="AI11" s="607" t="s">
        <v>1041</v>
      </c>
      <c r="AJ11" s="607" t="s">
        <v>28</v>
      </c>
      <c r="AK11" s="267" t="s">
        <v>19</v>
      </c>
      <c r="AL11" s="267" t="s">
        <v>20</v>
      </c>
      <c r="AM11" s="357" t="s">
        <v>4</v>
      </c>
      <c r="AN11" s="607" t="s">
        <v>86</v>
      </c>
      <c r="AO11" s="607" t="s">
        <v>102</v>
      </c>
      <c r="AP11" s="607" t="s">
        <v>103</v>
      </c>
      <c r="AQ11" s="607" t="s">
        <v>104</v>
      </c>
      <c r="AR11" s="607" t="s">
        <v>105</v>
      </c>
      <c r="AS11" s="607" t="s">
        <v>106</v>
      </c>
      <c r="AT11" s="607" t="s">
        <v>107</v>
      </c>
      <c r="AU11" s="607" t="s">
        <v>542</v>
      </c>
      <c r="AV11" s="607" t="s">
        <v>1050</v>
      </c>
      <c r="AW11" s="612" t="s">
        <v>120</v>
      </c>
      <c r="AX11" s="607" t="s">
        <v>108</v>
      </c>
      <c r="AY11" s="607" t="s">
        <v>109</v>
      </c>
      <c r="AZ11" s="607" t="s">
        <v>110</v>
      </c>
      <c r="BA11" s="607" t="s">
        <v>111</v>
      </c>
      <c r="BB11" s="607" t="s">
        <v>112</v>
      </c>
      <c r="BC11" s="607" t="s">
        <v>113</v>
      </c>
      <c r="BD11" s="607" t="s">
        <v>50</v>
      </c>
      <c r="BE11" s="607" t="s">
        <v>114</v>
      </c>
      <c r="BF11" s="607" t="s">
        <v>115</v>
      </c>
      <c r="BG11" s="607" t="s">
        <v>116</v>
      </c>
      <c r="BH11" s="607" t="s">
        <v>117</v>
      </c>
      <c r="BI11" s="607" t="s">
        <v>118</v>
      </c>
      <c r="BJ11" s="607" t="s">
        <v>45</v>
      </c>
      <c r="BK11" s="607" t="s">
        <v>119</v>
      </c>
      <c r="BL11" s="612" t="s">
        <v>40</v>
      </c>
      <c r="BM11" s="607" t="s">
        <v>29</v>
      </c>
      <c r="BN11" s="607" t="s">
        <v>30</v>
      </c>
      <c r="BO11" s="607" t="s">
        <v>31</v>
      </c>
      <c r="BP11" s="607" t="s">
        <v>32</v>
      </c>
      <c r="BQ11" s="607" t="s">
        <v>33</v>
      </c>
      <c r="BR11" s="607" t="s">
        <v>34</v>
      </c>
      <c r="BS11" s="607" t="s">
        <v>51</v>
      </c>
      <c r="BT11" s="607" t="s">
        <v>35</v>
      </c>
      <c r="BU11" s="607" t="s">
        <v>36</v>
      </c>
      <c r="BV11" s="607" t="s">
        <v>37</v>
      </c>
      <c r="BW11" s="607" t="s">
        <v>38</v>
      </c>
      <c r="BX11" s="607" t="s">
        <v>39</v>
      </c>
      <c r="BY11" s="607" t="s">
        <v>43</v>
      </c>
      <c r="BZ11" s="607" t="s">
        <v>42</v>
      </c>
      <c r="CA11" s="607" t="s">
        <v>121</v>
      </c>
      <c r="CB11" s="607" t="s">
        <v>122</v>
      </c>
      <c r="CC11" s="607" t="s">
        <v>123</v>
      </c>
      <c r="CD11" s="607" t="s">
        <v>124</v>
      </c>
      <c r="CE11" s="607" t="s">
        <v>48</v>
      </c>
      <c r="CF11" s="607" t="s">
        <v>125</v>
      </c>
      <c r="CG11" s="607" t="s">
        <v>126</v>
      </c>
      <c r="CH11" s="607" t="s">
        <v>127</v>
      </c>
      <c r="CI11" s="607" t="s">
        <v>128</v>
      </c>
      <c r="CJ11" s="607" t="s">
        <v>49</v>
      </c>
      <c r="CK11" s="265" t="s">
        <v>139</v>
      </c>
      <c r="CL11" s="265" t="s">
        <v>87</v>
      </c>
      <c r="CM11" s="607" t="s">
        <v>1048</v>
      </c>
      <c r="CN11" s="607" t="s">
        <v>1049</v>
      </c>
      <c r="CO11" s="608" t="s">
        <v>5</v>
      </c>
      <c r="CP11" s="611" t="s">
        <v>21</v>
      </c>
      <c r="CQ11" s="265" t="s">
        <v>22</v>
      </c>
      <c r="CR11" s="265" t="s">
        <v>23</v>
      </c>
      <c r="CS11" s="367" t="s">
        <v>24</v>
      </c>
      <c r="CT11" s="610" t="s">
        <v>25</v>
      </c>
      <c r="CU11" s="607" t="s">
        <v>3</v>
      </c>
      <c r="CV11" s="607" t="s">
        <v>1</v>
      </c>
      <c r="CW11" s="607" t="s">
        <v>2</v>
      </c>
      <c r="CX11" s="607" t="s">
        <v>265</v>
      </c>
      <c r="CY11" s="265" t="s">
        <v>266</v>
      </c>
      <c r="CZ11" s="607" t="s">
        <v>1043</v>
      </c>
      <c r="DA11" s="607" t="s">
        <v>541</v>
      </c>
      <c r="DB11" s="607" t="s">
        <v>1042</v>
      </c>
      <c r="DC11" s="607" t="s">
        <v>1044</v>
      </c>
      <c r="DD11" s="607" t="s">
        <v>1045</v>
      </c>
      <c r="DE11" s="607" t="s">
        <v>1046</v>
      </c>
      <c r="DF11" s="607" t="s">
        <v>334</v>
      </c>
      <c r="DG11" s="607" t="s">
        <v>1047</v>
      </c>
      <c r="DH11" s="265" t="s">
        <v>550</v>
      </c>
      <c r="DI11" s="607" t="s">
        <v>551</v>
      </c>
      <c r="DJ11" s="607" t="s">
        <v>552</v>
      </c>
      <c r="DK11" s="607" t="s">
        <v>553</v>
      </c>
      <c r="DL11" s="607" t="s">
        <v>554</v>
      </c>
    </row>
    <row r="12" spans="1:116" x14ac:dyDescent="0.25">
      <c r="A12" s="133" t="s">
        <v>150</v>
      </c>
      <c r="B12" s="130" t="s">
        <v>184</v>
      </c>
      <c r="C12" s="79" t="s">
        <v>184</v>
      </c>
      <c r="D12" s="79" t="s">
        <v>184</v>
      </c>
      <c r="E12" s="79" t="s">
        <v>184</v>
      </c>
      <c r="F12" s="79" t="s">
        <v>184</v>
      </c>
      <c r="G12" s="79"/>
      <c r="H12" s="79" t="s">
        <v>184</v>
      </c>
      <c r="I12" s="79" t="s">
        <v>184</v>
      </c>
      <c r="J12" s="79" t="s">
        <v>184</v>
      </c>
      <c r="K12" s="79" t="s">
        <v>184</v>
      </c>
      <c r="L12" s="79" t="s">
        <v>184</v>
      </c>
      <c r="M12" s="79" t="s">
        <v>184</v>
      </c>
      <c r="N12" s="291" t="s">
        <v>184</v>
      </c>
      <c r="O12" s="79" t="s">
        <v>184</v>
      </c>
      <c r="P12" s="79" t="s">
        <v>184</v>
      </c>
      <c r="Q12" s="360" t="s">
        <v>184</v>
      </c>
      <c r="R12" s="368" t="s">
        <v>202</v>
      </c>
      <c r="S12" s="291" t="s">
        <v>202</v>
      </c>
      <c r="T12" s="291" t="s">
        <v>202</v>
      </c>
      <c r="U12" s="373" t="s">
        <v>202</v>
      </c>
      <c r="V12" s="172" t="s">
        <v>131</v>
      </c>
      <c r="W12" s="79" t="s">
        <v>129</v>
      </c>
      <c r="X12" s="79" t="s">
        <v>129</v>
      </c>
      <c r="Y12" s="79" t="s">
        <v>129</v>
      </c>
      <c r="Z12" s="291"/>
      <c r="AA12" s="291" t="s">
        <v>185</v>
      </c>
      <c r="AB12" s="291" t="s">
        <v>134</v>
      </c>
      <c r="AC12" s="291"/>
      <c r="AD12" s="79" t="s">
        <v>184</v>
      </c>
      <c r="AE12" s="291" t="s">
        <v>46</v>
      </c>
      <c r="AF12" s="79" t="s">
        <v>184</v>
      </c>
      <c r="AG12" s="79" t="s">
        <v>184</v>
      </c>
      <c r="AH12" s="79" t="s">
        <v>184</v>
      </c>
      <c r="AI12" s="79" t="s">
        <v>184</v>
      </c>
      <c r="AJ12" s="79" t="s">
        <v>136</v>
      </c>
      <c r="AK12" s="79" t="s">
        <v>138</v>
      </c>
      <c r="AL12" s="79" t="s">
        <v>138</v>
      </c>
      <c r="AM12" s="79" t="s">
        <v>7</v>
      </c>
      <c r="AN12" s="79"/>
      <c r="AO12" s="79" t="s">
        <v>129</v>
      </c>
      <c r="AP12" s="79" t="s">
        <v>129</v>
      </c>
      <c r="AQ12" s="79" t="s">
        <v>184</v>
      </c>
      <c r="AR12" s="79" t="s">
        <v>184</v>
      </c>
      <c r="AS12" s="79" t="s">
        <v>184</v>
      </c>
      <c r="AT12" s="79" t="s">
        <v>184</v>
      </c>
      <c r="AU12" s="79"/>
      <c r="AV12" s="79"/>
      <c r="AW12" s="79" t="s">
        <v>138</v>
      </c>
      <c r="AX12" s="79" t="s">
        <v>138</v>
      </c>
      <c r="AY12" s="79" t="s">
        <v>138</v>
      </c>
      <c r="AZ12" s="79" t="s">
        <v>138</v>
      </c>
      <c r="BA12" s="79" t="s">
        <v>138</v>
      </c>
      <c r="BB12" s="79" t="s">
        <v>138</v>
      </c>
      <c r="BC12" s="79" t="s">
        <v>138</v>
      </c>
      <c r="BD12" s="79" t="s">
        <v>138</v>
      </c>
      <c r="BE12" s="79" t="s">
        <v>138</v>
      </c>
      <c r="BF12" s="79" t="s">
        <v>138</v>
      </c>
      <c r="BG12" s="79" t="s">
        <v>138</v>
      </c>
      <c r="BH12" s="79" t="s">
        <v>138</v>
      </c>
      <c r="BI12" s="79" t="s">
        <v>138</v>
      </c>
      <c r="BJ12" s="79" t="s">
        <v>138</v>
      </c>
      <c r="BK12" s="79" t="s">
        <v>138</v>
      </c>
      <c r="BL12" s="79" t="s">
        <v>138</v>
      </c>
      <c r="BM12" s="79" t="s">
        <v>138</v>
      </c>
      <c r="BN12" s="79" t="s">
        <v>138</v>
      </c>
      <c r="BO12" s="79" t="s">
        <v>138</v>
      </c>
      <c r="BP12" s="79" t="s">
        <v>138</v>
      </c>
      <c r="BQ12" s="79" t="s">
        <v>138</v>
      </c>
      <c r="BR12" s="79" t="s">
        <v>138</v>
      </c>
      <c r="BS12" s="79" t="s">
        <v>138</v>
      </c>
      <c r="BT12" s="79" t="s">
        <v>138</v>
      </c>
      <c r="BU12" s="79" t="s">
        <v>138</v>
      </c>
      <c r="BV12" s="79" t="s">
        <v>138</v>
      </c>
      <c r="BW12" s="79" t="s">
        <v>138</v>
      </c>
      <c r="BX12" s="79" t="s">
        <v>138</v>
      </c>
      <c r="BY12" s="79" t="s">
        <v>138</v>
      </c>
      <c r="BZ12" s="79" t="s">
        <v>138</v>
      </c>
      <c r="CA12" s="79" t="s">
        <v>138</v>
      </c>
      <c r="CB12" s="79" t="s">
        <v>138</v>
      </c>
      <c r="CC12" s="79" t="s">
        <v>138</v>
      </c>
      <c r="CD12" s="79" t="s">
        <v>138</v>
      </c>
      <c r="CE12" s="79" t="s">
        <v>138</v>
      </c>
      <c r="CF12" s="79" t="s">
        <v>138</v>
      </c>
      <c r="CG12" s="79" t="s">
        <v>138</v>
      </c>
      <c r="CH12" s="79" t="s">
        <v>138</v>
      </c>
      <c r="CI12" s="79" t="s">
        <v>138</v>
      </c>
      <c r="CJ12" s="79" t="s">
        <v>138</v>
      </c>
      <c r="CK12" s="79" t="s">
        <v>167</v>
      </c>
      <c r="CL12" s="291"/>
      <c r="CM12" s="79"/>
      <c r="CN12" s="79"/>
      <c r="CO12" s="360"/>
      <c r="CP12" s="368" t="s">
        <v>202</v>
      </c>
      <c r="CQ12" s="291" t="s">
        <v>202</v>
      </c>
      <c r="CR12" s="291" t="s">
        <v>202</v>
      </c>
      <c r="CS12" s="373" t="s">
        <v>202</v>
      </c>
      <c r="CT12" s="172" t="s">
        <v>184</v>
      </c>
      <c r="CU12" s="79" t="s">
        <v>138</v>
      </c>
      <c r="CV12" s="79"/>
      <c r="CW12" s="79"/>
      <c r="CX12" s="79" t="s">
        <v>561</v>
      </c>
      <c r="CY12" s="291"/>
      <c r="CZ12" s="79" t="s">
        <v>184</v>
      </c>
      <c r="DA12" s="79" t="s">
        <v>184</v>
      </c>
      <c r="DB12" s="79" t="s">
        <v>184</v>
      </c>
      <c r="DC12" s="79" t="s">
        <v>184</v>
      </c>
      <c r="DD12" s="79" t="s">
        <v>184</v>
      </c>
      <c r="DE12" s="79" t="s">
        <v>184</v>
      </c>
      <c r="DF12" s="79" t="s">
        <v>184</v>
      </c>
      <c r="DG12" s="79" t="s">
        <v>184</v>
      </c>
      <c r="DH12" s="79"/>
      <c r="DI12" s="79"/>
      <c r="DJ12" s="79"/>
      <c r="DK12" s="79"/>
      <c r="DL12" s="79"/>
    </row>
    <row r="13" spans="1:116" x14ac:dyDescent="0.25">
      <c r="A13" s="133" t="s">
        <v>151</v>
      </c>
      <c r="B13" s="130" t="s">
        <v>152</v>
      </c>
      <c r="C13" s="79" t="s">
        <v>152</v>
      </c>
      <c r="D13" s="79" t="s">
        <v>152</v>
      </c>
      <c r="E13" s="79" t="s">
        <v>152</v>
      </c>
      <c r="F13" s="79" t="s">
        <v>152</v>
      </c>
      <c r="G13" s="79" t="s">
        <v>152</v>
      </c>
      <c r="H13" s="79" t="s">
        <v>152</v>
      </c>
      <c r="I13" s="79" t="s">
        <v>152</v>
      </c>
      <c r="J13" s="79" t="s">
        <v>152</v>
      </c>
      <c r="K13" s="79" t="s">
        <v>152</v>
      </c>
      <c r="L13" s="79" t="s">
        <v>183</v>
      </c>
      <c r="M13" s="79" t="s">
        <v>152</v>
      </c>
      <c r="N13" s="291" t="s">
        <v>152</v>
      </c>
      <c r="O13" s="79" t="s">
        <v>184</v>
      </c>
      <c r="P13" s="79" t="s">
        <v>152</v>
      </c>
      <c r="Q13" s="360" t="s">
        <v>152</v>
      </c>
      <c r="R13" s="368" t="s">
        <v>41</v>
      </c>
      <c r="S13" s="291" t="s">
        <v>41</v>
      </c>
      <c r="T13" s="291" t="s">
        <v>41</v>
      </c>
      <c r="U13" s="373" t="s">
        <v>41</v>
      </c>
      <c r="V13" s="172" t="s">
        <v>153</v>
      </c>
      <c r="W13" s="79" t="s">
        <v>152</v>
      </c>
      <c r="X13" s="79" t="s">
        <v>152</v>
      </c>
      <c r="Y13" s="79" t="s">
        <v>152</v>
      </c>
      <c r="Z13" s="291"/>
      <c r="AA13" s="291" t="s">
        <v>153</v>
      </c>
      <c r="AB13" s="291" t="s">
        <v>153</v>
      </c>
      <c r="AC13" s="291"/>
      <c r="AD13" s="79" t="s">
        <v>152</v>
      </c>
      <c r="AE13" s="291" t="s">
        <v>47</v>
      </c>
      <c r="AF13" s="79" t="s">
        <v>135</v>
      </c>
      <c r="AG13" s="79" t="s">
        <v>135</v>
      </c>
      <c r="AH13" s="79" t="s">
        <v>135</v>
      </c>
      <c r="AI13" s="79" t="s">
        <v>135</v>
      </c>
      <c r="AJ13" s="79" t="s">
        <v>137</v>
      </c>
      <c r="AK13" s="79" t="s">
        <v>152</v>
      </c>
      <c r="AL13" s="79" t="s">
        <v>152</v>
      </c>
      <c r="AM13" s="79" t="s">
        <v>153</v>
      </c>
      <c r="AN13" s="79" t="s">
        <v>152</v>
      </c>
      <c r="AO13" s="79" t="s">
        <v>152</v>
      </c>
      <c r="AP13" s="79" t="s">
        <v>152</v>
      </c>
      <c r="AQ13" s="79" t="s">
        <v>152</v>
      </c>
      <c r="AR13" s="79" t="s">
        <v>152</v>
      </c>
      <c r="AS13" s="79" t="s">
        <v>152</v>
      </c>
      <c r="AT13" s="79" t="s">
        <v>152</v>
      </c>
      <c r="AU13" s="79"/>
      <c r="AV13" s="79"/>
      <c r="AW13" s="79" t="s">
        <v>152</v>
      </c>
      <c r="AX13" s="79" t="s">
        <v>135</v>
      </c>
      <c r="AY13" s="79" t="s">
        <v>135</v>
      </c>
      <c r="AZ13" s="79" t="s">
        <v>135</v>
      </c>
      <c r="BA13" s="79" t="s">
        <v>135</v>
      </c>
      <c r="BB13" s="79" t="s">
        <v>135</v>
      </c>
      <c r="BC13" s="79" t="s">
        <v>135</v>
      </c>
      <c r="BD13" s="79" t="s">
        <v>135</v>
      </c>
      <c r="BE13" s="79" t="s">
        <v>135</v>
      </c>
      <c r="BF13" s="79" t="s">
        <v>135</v>
      </c>
      <c r="BG13" s="79" t="s">
        <v>135</v>
      </c>
      <c r="BH13" s="79" t="s">
        <v>135</v>
      </c>
      <c r="BI13" s="79" t="s">
        <v>135</v>
      </c>
      <c r="BJ13" s="79" t="s">
        <v>135</v>
      </c>
      <c r="BK13" s="79" t="s">
        <v>135</v>
      </c>
      <c r="BL13" s="79" t="s">
        <v>152</v>
      </c>
      <c r="BM13" s="79" t="s">
        <v>135</v>
      </c>
      <c r="BN13" s="79" t="s">
        <v>135</v>
      </c>
      <c r="BO13" s="79" t="s">
        <v>135</v>
      </c>
      <c r="BP13" s="79" t="s">
        <v>135</v>
      </c>
      <c r="BQ13" s="79" t="s">
        <v>135</v>
      </c>
      <c r="BR13" s="79" t="s">
        <v>135</v>
      </c>
      <c r="BS13" s="79" t="s">
        <v>135</v>
      </c>
      <c r="BT13" s="79" t="s">
        <v>135</v>
      </c>
      <c r="BU13" s="79" t="s">
        <v>135</v>
      </c>
      <c r="BV13" s="79" t="s">
        <v>135</v>
      </c>
      <c r="BW13" s="79" t="s">
        <v>135</v>
      </c>
      <c r="BX13" s="79" t="s">
        <v>135</v>
      </c>
      <c r="BY13" s="79" t="s">
        <v>135</v>
      </c>
      <c r="BZ13" s="79" t="s">
        <v>135</v>
      </c>
      <c r="CA13" s="79" t="s">
        <v>135</v>
      </c>
      <c r="CB13" s="79" t="s">
        <v>135</v>
      </c>
      <c r="CC13" s="79" t="s">
        <v>135</v>
      </c>
      <c r="CD13" s="79" t="s">
        <v>135</v>
      </c>
      <c r="CE13" s="79" t="s">
        <v>135</v>
      </c>
      <c r="CF13" s="79" t="s">
        <v>135</v>
      </c>
      <c r="CG13" s="79" t="s">
        <v>135</v>
      </c>
      <c r="CH13" s="79" t="s">
        <v>135</v>
      </c>
      <c r="CI13" s="79" t="s">
        <v>135</v>
      </c>
      <c r="CJ13" s="79" t="s">
        <v>135</v>
      </c>
      <c r="CK13" s="79"/>
      <c r="CL13" s="291"/>
      <c r="CM13" s="79"/>
      <c r="CN13" s="79"/>
      <c r="CO13" s="360" t="s">
        <v>153</v>
      </c>
      <c r="CP13" s="368" t="s">
        <v>41</v>
      </c>
      <c r="CQ13" s="291" t="s">
        <v>41</v>
      </c>
      <c r="CR13" s="291" t="s">
        <v>41</v>
      </c>
      <c r="CS13" s="373" t="s">
        <v>41</v>
      </c>
      <c r="CT13" s="172" t="s">
        <v>152</v>
      </c>
      <c r="CU13" s="79" t="s">
        <v>152</v>
      </c>
      <c r="CV13" s="79" t="s">
        <v>152</v>
      </c>
      <c r="CW13" s="79" t="s">
        <v>152</v>
      </c>
      <c r="CX13" s="79" t="s">
        <v>371</v>
      </c>
      <c r="CY13" s="291"/>
      <c r="CZ13" s="79" t="s">
        <v>152</v>
      </c>
      <c r="DA13" s="79" t="s">
        <v>152</v>
      </c>
      <c r="DB13" s="79" t="s">
        <v>152</v>
      </c>
      <c r="DC13" s="79" t="s">
        <v>152</v>
      </c>
      <c r="DD13" s="79" t="s">
        <v>152</v>
      </c>
      <c r="DE13" s="79" t="s">
        <v>152</v>
      </c>
      <c r="DF13" s="79" t="s">
        <v>152</v>
      </c>
      <c r="DG13" s="79" t="s">
        <v>152</v>
      </c>
      <c r="DH13" s="79"/>
      <c r="DI13" s="79"/>
      <c r="DJ13" s="79"/>
      <c r="DK13" s="79"/>
      <c r="DL13" s="79"/>
    </row>
    <row r="14" spans="1:116" ht="30" hidden="1" x14ac:dyDescent="0.25">
      <c r="A14" s="134" t="s">
        <v>8</v>
      </c>
      <c r="B14" s="184">
        <v>15</v>
      </c>
      <c r="C14" s="184">
        <v>18.75</v>
      </c>
      <c r="D14" s="184">
        <v>15</v>
      </c>
      <c r="E14" s="184">
        <v>15</v>
      </c>
      <c r="F14" s="184">
        <v>18.75</v>
      </c>
      <c r="G14" s="184">
        <v>4.3499999999999996</v>
      </c>
      <c r="H14" s="184">
        <v>16.25</v>
      </c>
      <c r="I14" s="184">
        <v>16.25</v>
      </c>
      <c r="J14" s="184">
        <v>16.25</v>
      </c>
      <c r="K14" s="184">
        <v>5.19</v>
      </c>
      <c r="L14" s="184">
        <v>300</v>
      </c>
      <c r="M14" s="184">
        <v>15.2</v>
      </c>
      <c r="N14" s="185">
        <v>15.2</v>
      </c>
      <c r="O14" s="184">
        <v>65</v>
      </c>
      <c r="P14" s="184">
        <v>8</v>
      </c>
      <c r="Q14" s="361">
        <v>5</v>
      </c>
      <c r="R14" s="369">
        <v>33.75</v>
      </c>
      <c r="S14" s="185">
        <v>33.75</v>
      </c>
      <c r="T14" s="185">
        <v>33.75</v>
      </c>
      <c r="U14" s="374">
        <v>33.75</v>
      </c>
      <c r="V14" s="364">
        <v>240</v>
      </c>
      <c r="W14" s="184">
        <v>25.8</v>
      </c>
      <c r="X14" s="184">
        <v>15</v>
      </c>
      <c r="Y14" s="184">
        <v>5.93</v>
      </c>
      <c r="Z14" s="185">
        <v>10000</v>
      </c>
      <c r="AA14" s="185">
        <v>50</v>
      </c>
      <c r="AB14" s="185">
        <v>30</v>
      </c>
      <c r="AC14" s="185">
        <v>10000</v>
      </c>
      <c r="AD14" s="184">
        <v>5.22</v>
      </c>
      <c r="AE14" s="185">
        <v>0</v>
      </c>
      <c r="AF14" s="184">
        <v>141</v>
      </c>
      <c r="AG14" s="184">
        <v>151</v>
      </c>
      <c r="AH14" s="184">
        <v>203</v>
      </c>
      <c r="AI14" s="184">
        <v>500</v>
      </c>
      <c r="AJ14" s="184">
        <v>5000</v>
      </c>
      <c r="AK14" s="184">
        <v>3.8</v>
      </c>
      <c r="AL14" s="184">
        <v>6.67</v>
      </c>
      <c r="AM14" s="184"/>
      <c r="AN14" s="184">
        <v>3.42</v>
      </c>
      <c r="AO14" s="184">
        <v>11.75</v>
      </c>
      <c r="AP14" s="184">
        <v>7.12</v>
      </c>
      <c r="AQ14" s="184">
        <v>11.75</v>
      </c>
      <c r="AR14" s="184">
        <v>7.12</v>
      </c>
      <c r="AS14" s="184">
        <v>11.75</v>
      </c>
      <c r="AT14" s="184">
        <v>7.12</v>
      </c>
      <c r="AU14" s="184">
        <v>3.81</v>
      </c>
      <c r="AV14" s="184">
        <v>5.22</v>
      </c>
      <c r="AW14" s="184">
        <v>5.93</v>
      </c>
      <c r="AX14" s="184">
        <v>256</v>
      </c>
      <c r="AY14" s="184">
        <v>274</v>
      </c>
      <c r="AZ14" s="184">
        <v>321</v>
      </c>
      <c r="BA14" s="184">
        <v>339</v>
      </c>
      <c r="BB14" s="184">
        <v>379</v>
      </c>
      <c r="BC14" s="184">
        <v>439</v>
      </c>
      <c r="BD14" s="184">
        <v>603</v>
      </c>
      <c r="BE14" s="184">
        <v>319</v>
      </c>
      <c r="BF14" s="184">
        <v>346</v>
      </c>
      <c r="BG14" s="184">
        <v>410</v>
      </c>
      <c r="BH14" s="184">
        <v>496</v>
      </c>
      <c r="BI14" s="184">
        <v>534</v>
      </c>
      <c r="BJ14" s="184">
        <v>563</v>
      </c>
      <c r="BK14" s="184">
        <v>624</v>
      </c>
      <c r="BL14" s="184">
        <v>6.49</v>
      </c>
      <c r="BM14" s="184">
        <v>276</v>
      </c>
      <c r="BN14" s="184">
        <v>295</v>
      </c>
      <c r="BO14" s="184">
        <v>341</v>
      </c>
      <c r="BP14" s="184">
        <v>359</v>
      </c>
      <c r="BQ14" s="184">
        <v>439</v>
      </c>
      <c r="BR14" s="184">
        <v>459</v>
      </c>
      <c r="BS14" s="184">
        <v>623</v>
      </c>
      <c r="BT14" s="184">
        <v>339</v>
      </c>
      <c r="BU14" s="184">
        <v>366</v>
      </c>
      <c r="BV14" s="184">
        <v>431</v>
      </c>
      <c r="BW14" s="184">
        <v>513</v>
      </c>
      <c r="BX14" s="184">
        <v>554</v>
      </c>
      <c r="BY14" s="184">
        <v>583.54</v>
      </c>
      <c r="BZ14" s="184">
        <v>644.63</v>
      </c>
      <c r="CA14" s="184">
        <v>244.41</v>
      </c>
      <c r="CB14" s="184">
        <v>390.23</v>
      </c>
      <c r="CC14" s="184">
        <v>435.37</v>
      </c>
      <c r="CD14" s="184">
        <v>563.57000000000005</v>
      </c>
      <c r="CE14" s="184">
        <v>617.76</v>
      </c>
      <c r="CF14" s="184">
        <v>301.95</v>
      </c>
      <c r="CG14" s="184">
        <v>348.78</v>
      </c>
      <c r="CH14" s="184">
        <v>411.76</v>
      </c>
      <c r="CI14" s="184">
        <v>521.21</v>
      </c>
      <c r="CJ14" s="184">
        <v>575.98</v>
      </c>
      <c r="CK14" s="184">
        <f>'Factor D Back Up'!G1231</f>
        <v>72.850810810810813</v>
      </c>
      <c r="CL14" s="185">
        <v>0</v>
      </c>
      <c r="CM14" s="184">
        <v>5.44</v>
      </c>
      <c r="CN14" s="184">
        <v>0</v>
      </c>
      <c r="CO14" s="361"/>
      <c r="CP14" s="369">
        <v>25</v>
      </c>
      <c r="CQ14" s="185">
        <v>25</v>
      </c>
      <c r="CR14" s="185">
        <v>25</v>
      </c>
      <c r="CS14" s="374">
        <v>25</v>
      </c>
      <c r="CT14" s="364">
        <v>11.25</v>
      </c>
      <c r="CU14" s="184"/>
      <c r="CV14" s="184"/>
      <c r="CW14" s="184"/>
      <c r="CX14" s="184"/>
      <c r="CY14" s="185"/>
      <c r="CZ14" s="184"/>
      <c r="DA14" s="184"/>
      <c r="DB14" s="184"/>
      <c r="DC14" s="184"/>
      <c r="DD14" s="184"/>
      <c r="DE14" s="184"/>
      <c r="DF14" s="184"/>
      <c r="DG14" s="184"/>
      <c r="DH14" s="80"/>
      <c r="DI14" s="80"/>
      <c r="DJ14" s="80"/>
      <c r="DK14" s="80"/>
      <c r="DL14" s="80"/>
    </row>
    <row r="15" spans="1:116" ht="45" hidden="1" x14ac:dyDescent="0.25">
      <c r="A15" s="134" t="s">
        <v>9</v>
      </c>
      <c r="B15" s="184">
        <v>16.25</v>
      </c>
      <c r="C15" s="184">
        <v>18.75</v>
      </c>
      <c r="D15" s="184">
        <v>16.25</v>
      </c>
      <c r="E15" s="184">
        <v>15.2</v>
      </c>
      <c r="F15" s="184">
        <v>18.989999999999998</v>
      </c>
      <c r="G15" s="184">
        <v>4.72</v>
      </c>
      <c r="H15" s="184">
        <v>25</v>
      </c>
      <c r="I15" s="184">
        <v>25</v>
      </c>
      <c r="J15" s="184">
        <v>25</v>
      </c>
      <c r="K15" s="184">
        <v>5.13</v>
      </c>
      <c r="L15" s="184">
        <v>400</v>
      </c>
      <c r="M15" s="184">
        <v>15.2</v>
      </c>
      <c r="N15" s="185">
        <v>15.2</v>
      </c>
      <c r="O15" s="184">
        <v>65</v>
      </c>
      <c r="P15" s="184">
        <v>8</v>
      </c>
      <c r="Q15" s="361">
        <v>5.5</v>
      </c>
      <c r="R15" s="369">
        <v>75</v>
      </c>
      <c r="S15" s="185">
        <v>75</v>
      </c>
      <c r="T15" s="185">
        <v>75</v>
      </c>
      <c r="U15" s="374">
        <v>75</v>
      </c>
      <c r="V15" s="364">
        <v>246.28</v>
      </c>
      <c r="W15" s="184">
        <f t="shared" ref="W15" si="0">W14*(1+$C$3)</f>
        <v>26.3934</v>
      </c>
      <c r="X15" s="184">
        <v>16.25</v>
      </c>
      <c r="Y15" s="184">
        <v>5.97</v>
      </c>
      <c r="Z15" s="185">
        <v>10000</v>
      </c>
      <c r="AA15" s="185">
        <v>50</v>
      </c>
      <c r="AB15" s="185">
        <v>30.39</v>
      </c>
      <c r="AC15" s="185">
        <v>10000</v>
      </c>
      <c r="AD15" s="184">
        <v>5.82</v>
      </c>
      <c r="AE15" s="185">
        <v>0</v>
      </c>
      <c r="AF15" s="184">
        <v>152</v>
      </c>
      <c r="AG15" s="184">
        <v>170</v>
      </c>
      <c r="AH15" s="184">
        <v>221</v>
      </c>
      <c r="AI15" s="184">
        <v>500</v>
      </c>
      <c r="AJ15" s="184">
        <v>5000</v>
      </c>
      <c r="AK15" s="184">
        <v>5.43</v>
      </c>
      <c r="AL15" s="184">
        <v>10.28</v>
      </c>
      <c r="AM15" s="184">
        <v>12.3</v>
      </c>
      <c r="AN15" s="184">
        <v>4.68</v>
      </c>
      <c r="AO15" s="184">
        <v>11.86</v>
      </c>
      <c r="AP15" s="184">
        <v>7.14</v>
      </c>
      <c r="AQ15" s="184">
        <v>11.86</v>
      </c>
      <c r="AR15" s="184">
        <v>7.14</v>
      </c>
      <c r="AS15" s="184">
        <v>11.86</v>
      </c>
      <c r="AT15" s="184">
        <v>7.14</v>
      </c>
      <c r="AU15" s="184">
        <v>2.85</v>
      </c>
      <c r="AV15" s="184">
        <v>5.76</v>
      </c>
      <c r="AW15" s="184">
        <v>5.97</v>
      </c>
      <c r="AX15" s="184">
        <f>AX14</f>
        <v>256</v>
      </c>
      <c r="AY15" s="184">
        <f t="shared" ref="AY15:BA15" si="1">AY14</f>
        <v>274</v>
      </c>
      <c r="AZ15" s="184">
        <f t="shared" si="1"/>
        <v>321</v>
      </c>
      <c r="BA15" s="184">
        <f t="shared" si="1"/>
        <v>339</v>
      </c>
      <c r="BB15" s="184">
        <f>BB14</f>
        <v>379</v>
      </c>
      <c r="BC15" s="184">
        <f t="shared" ref="BC15" si="2">BC14</f>
        <v>439</v>
      </c>
      <c r="BD15" s="184">
        <f t="shared" ref="BD15" si="3">BD14</f>
        <v>603</v>
      </c>
      <c r="BE15" s="184">
        <f>BE14</f>
        <v>319</v>
      </c>
      <c r="BF15" s="184">
        <f t="shared" ref="BF15" si="4">BF14</f>
        <v>346</v>
      </c>
      <c r="BG15" s="184">
        <f t="shared" ref="BG15" si="5">BG14</f>
        <v>410</v>
      </c>
      <c r="BH15" s="184">
        <f>BH14</f>
        <v>496</v>
      </c>
      <c r="BI15" s="184">
        <f t="shared" ref="BI15" si="6">BI14</f>
        <v>534</v>
      </c>
      <c r="BJ15" s="184">
        <f t="shared" ref="BJ15" si="7">BJ14</f>
        <v>563</v>
      </c>
      <c r="BK15" s="184">
        <f>BK14</f>
        <v>624</v>
      </c>
      <c r="BL15" s="184">
        <v>6.75</v>
      </c>
      <c r="BM15" s="184">
        <f>BM14</f>
        <v>276</v>
      </c>
      <c r="BN15" s="184">
        <f t="shared" ref="BN15:BO15" si="8">BN14</f>
        <v>295</v>
      </c>
      <c r="BO15" s="184">
        <f t="shared" si="8"/>
        <v>341</v>
      </c>
      <c r="BP15" s="184">
        <f>BP14</f>
        <v>359</v>
      </c>
      <c r="BQ15" s="184">
        <f t="shared" ref="BQ15" si="9">BQ14</f>
        <v>439</v>
      </c>
      <c r="BR15" s="184">
        <f>BR14</f>
        <v>459</v>
      </c>
      <c r="BS15" s="184">
        <f t="shared" ref="BS15" si="10">BS14</f>
        <v>623</v>
      </c>
      <c r="BT15" s="184">
        <f>BT14</f>
        <v>339</v>
      </c>
      <c r="BU15" s="184">
        <f t="shared" ref="BU15" si="11">BU14</f>
        <v>366</v>
      </c>
      <c r="BV15" s="184">
        <f>BV14</f>
        <v>431</v>
      </c>
      <c r="BW15" s="184">
        <f t="shared" ref="BW15" si="12">BW14</f>
        <v>513</v>
      </c>
      <c r="BX15" s="184">
        <f>BX14</f>
        <v>554</v>
      </c>
      <c r="BY15" s="184">
        <f>BY14</f>
        <v>583.54</v>
      </c>
      <c r="BZ15" s="184">
        <f t="shared" ref="BZ15:CA15" si="13">BZ14</f>
        <v>644.63</v>
      </c>
      <c r="CA15" s="184">
        <f t="shared" si="13"/>
        <v>244.41</v>
      </c>
      <c r="CB15" s="184">
        <f t="shared" ref="CB15" si="14">CB14</f>
        <v>390.23</v>
      </c>
      <c r="CC15" s="184">
        <f t="shared" ref="CC15" si="15">CC14</f>
        <v>435.37</v>
      </c>
      <c r="CD15" s="184">
        <f t="shared" ref="CD15" si="16">CD14</f>
        <v>563.57000000000005</v>
      </c>
      <c r="CE15" s="184">
        <f t="shared" ref="CE15" si="17">CE14</f>
        <v>617.76</v>
      </c>
      <c r="CF15" s="184">
        <f t="shared" ref="CF15" si="18">CF14</f>
        <v>301.95</v>
      </c>
      <c r="CG15" s="184">
        <f t="shared" ref="CG15" si="19">CG14</f>
        <v>348.78</v>
      </c>
      <c r="CH15" s="184">
        <f t="shared" ref="CH15" si="20">CH14</f>
        <v>411.76</v>
      </c>
      <c r="CI15" s="184">
        <f t="shared" ref="CI15" si="21">CI14</f>
        <v>521.21</v>
      </c>
      <c r="CJ15" s="184">
        <f t="shared" ref="CJ15" si="22">CJ14</f>
        <v>575.98</v>
      </c>
      <c r="CK15" s="184">
        <f>'Factor D Back Up'!G1232</f>
        <v>68.92649999999999</v>
      </c>
      <c r="CL15" s="185">
        <v>0</v>
      </c>
      <c r="CM15" s="184">
        <v>5.31</v>
      </c>
      <c r="CN15" s="184">
        <v>9.4</v>
      </c>
      <c r="CO15" s="361">
        <v>7.3</v>
      </c>
      <c r="CP15" s="369">
        <v>24.99</v>
      </c>
      <c r="CQ15" s="185">
        <v>24.99</v>
      </c>
      <c r="CR15" s="185">
        <v>24.99</v>
      </c>
      <c r="CS15" s="374">
        <v>24.99</v>
      </c>
      <c r="CT15" s="364">
        <v>11.25</v>
      </c>
      <c r="CU15" s="184">
        <v>8.1999999999999993</v>
      </c>
      <c r="CV15" s="184">
        <v>4.72</v>
      </c>
      <c r="CW15" s="184">
        <v>2.91</v>
      </c>
      <c r="CX15" s="184"/>
      <c r="CY15" s="185"/>
      <c r="CZ15" s="184"/>
      <c r="DA15" s="184"/>
      <c r="DB15" s="184"/>
      <c r="DC15" s="184"/>
      <c r="DD15" s="184"/>
      <c r="DE15" s="184"/>
      <c r="DF15" s="184"/>
      <c r="DG15" s="184"/>
      <c r="DH15" s="80"/>
      <c r="DI15" s="80"/>
      <c r="DJ15" s="80"/>
      <c r="DK15" s="80"/>
      <c r="DL15" s="80"/>
    </row>
    <row r="16" spans="1:116" hidden="1" x14ac:dyDescent="0.25">
      <c r="A16" s="143" t="s">
        <v>504</v>
      </c>
      <c r="B16" s="184">
        <f t="shared" ref="B16:AW16" si="23">B15*1.003</f>
        <v>16.298749999999998</v>
      </c>
      <c r="C16" s="184">
        <f t="shared" si="23"/>
        <v>18.806249999999999</v>
      </c>
      <c r="D16" s="184">
        <f t="shared" si="23"/>
        <v>16.298749999999998</v>
      </c>
      <c r="E16" s="184">
        <f t="shared" si="23"/>
        <v>15.245599999999998</v>
      </c>
      <c r="F16" s="184">
        <f t="shared" si="23"/>
        <v>19.046969999999995</v>
      </c>
      <c r="G16" s="184">
        <f t="shared" si="23"/>
        <v>4.7341599999999993</v>
      </c>
      <c r="H16" s="184">
        <f t="shared" si="23"/>
        <v>25.074999999999996</v>
      </c>
      <c r="I16" s="184">
        <f t="shared" si="23"/>
        <v>25.074999999999996</v>
      </c>
      <c r="J16" s="184">
        <f t="shared" si="23"/>
        <v>25.074999999999996</v>
      </c>
      <c r="K16" s="184">
        <f t="shared" si="23"/>
        <v>5.145389999999999</v>
      </c>
      <c r="L16" s="184">
        <f t="shared" si="23"/>
        <v>401.19999999999993</v>
      </c>
      <c r="M16" s="184">
        <f t="shared" si="23"/>
        <v>15.245599999999998</v>
      </c>
      <c r="N16" s="185">
        <f t="shared" si="23"/>
        <v>15.245599999999998</v>
      </c>
      <c r="O16" s="184">
        <f t="shared" si="23"/>
        <v>65.194999999999993</v>
      </c>
      <c r="P16" s="184">
        <f t="shared" si="23"/>
        <v>8.0239999999999991</v>
      </c>
      <c r="Q16" s="361">
        <f t="shared" si="23"/>
        <v>5.5164999999999997</v>
      </c>
      <c r="R16" s="369">
        <f t="shared" si="23"/>
        <v>75.224999999999994</v>
      </c>
      <c r="S16" s="185">
        <f t="shared" si="23"/>
        <v>75.224999999999994</v>
      </c>
      <c r="T16" s="185">
        <f t="shared" si="23"/>
        <v>75.224999999999994</v>
      </c>
      <c r="U16" s="374">
        <f t="shared" si="23"/>
        <v>75.224999999999994</v>
      </c>
      <c r="V16" s="364">
        <f t="shared" si="23"/>
        <v>247.01883999999998</v>
      </c>
      <c r="W16" s="184">
        <f t="shared" si="23"/>
        <v>26.472580199999996</v>
      </c>
      <c r="X16" s="184">
        <f t="shared" si="23"/>
        <v>16.298749999999998</v>
      </c>
      <c r="Y16" s="184">
        <f t="shared" si="23"/>
        <v>5.9879099999999994</v>
      </c>
      <c r="Z16" s="185">
        <v>10000</v>
      </c>
      <c r="AA16" s="185">
        <v>50</v>
      </c>
      <c r="AB16" s="185">
        <f t="shared" si="23"/>
        <v>30.481169999999999</v>
      </c>
      <c r="AC16" s="185">
        <v>10000</v>
      </c>
      <c r="AD16" s="184">
        <f t="shared" si="23"/>
        <v>5.8374600000000001</v>
      </c>
      <c r="AE16" s="185">
        <f t="shared" si="23"/>
        <v>0</v>
      </c>
      <c r="AF16" s="184">
        <f t="shared" si="23"/>
        <v>152.45599999999999</v>
      </c>
      <c r="AG16" s="184">
        <f t="shared" si="23"/>
        <v>170.51</v>
      </c>
      <c r="AH16" s="184">
        <f t="shared" si="23"/>
        <v>221.66299999999998</v>
      </c>
      <c r="AI16" s="184">
        <f t="shared" si="23"/>
        <v>501.49999999999994</v>
      </c>
      <c r="AJ16" s="184">
        <v>5000</v>
      </c>
      <c r="AK16" s="184">
        <f t="shared" si="23"/>
        <v>5.4462899999999994</v>
      </c>
      <c r="AL16" s="184">
        <f t="shared" si="23"/>
        <v>10.310839999999999</v>
      </c>
      <c r="AM16" s="184">
        <f t="shared" si="23"/>
        <v>12.3369</v>
      </c>
      <c r="AN16" s="184">
        <f t="shared" si="23"/>
        <v>4.6940399999999993</v>
      </c>
      <c r="AO16" s="184">
        <f t="shared" si="23"/>
        <v>11.895579999999999</v>
      </c>
      <c r="AP16" s="184">
        <f t="shared" si="23"/>
        <v>7.1614199999999988</v>
      </c>
      <c r="AQ16" s="184">
        <f t="shared" si="23"/>
        <v>11.895579999999999</v>
      </c>
      <c r="AR16" s="184">
        <f t="shared" si="23"/>
        <v>7.1614199999999988</v>
      </c>
      <c r="AS16" s="184">
        <f t="shared" si="23"/>
        <v>11.895579999999999</v>
      </c>
      <c r="AT16" s="184">
        <f t="shared" si="23"/>
        <v>7.1614199999999988</v>
      </c>
      <c r="AU16" s="184">
        <f t="shared" si="23"/>
        <v>2.8585499999999997</v>
      </c>
      <c r="AV16" s="184">
        <f t="shared" si="23"/>
        <v>5.7772799999999993</v>
      </c>
      <c r="AW16" s="184">
        <f t="shared" si="23"/>
        <v>5.9879099999999994</v>
      </c>
      <c r="AX16" s="184">
        <v>231.11</v>
      </c>
      <c r="AY16" s="184">
        <v>241.39</v>
      </c>
      <c r="AZ16" s="184">
        <v>326.22000000000003</v>
      </c>
      <c r="BA16" s="184">
        <v>336.5</v>
      </c>
      <c r="BB16" s="184">
        <v>375.68</v>
      </c>
      <c r="BC16" s="184">
        <v>424.98</v>
      </c>
      <c r="BD16" s="184">
        <v>503.53</v>
      </c>
      <c r="BE16" s="184">
        <v>315.58999999999997</v>
      </c>
      <c r="BF16" s="184">
        <v>328.34</v>
      </c>
      <c r="BG16" s="184">
        <v>392.29</v>
      </c>
      <c r="BH16" s="184">
        <v>440.21</v>
      </c>
      <c r="BI16" s="184">
        <v>515.42999999999995</v>
      </c>
      <c r="BJ16" s="184">
        <v>608.07000000000005</v>
      </c>
      <c r="BK16" s="184">
        <v>627.15</v>
      </c>
      <c r="BL16" s="184">
        <f>BL15*1.003</f>
        <v>6.770249999999999</v>
      </c>
      <c r="BM16" s="184">
        <v>313.08999999999997</v>
      </c>
      <c r="BN16" s="184">
        <v>323.37</v>
      </c>
      <c r="BO16" s="184">
        <v>408.19</v>
      </c>
      <c r="BP16" s="184">
        <v>418.47</v>
      </c>
      <c r="BQ16" s="184">
        <v>457.66</v>
      </c>
      <c r="BR16" s="184">
        <v>506.95</v>
      </c>
      <c r="BS16" s="184">
        <v>559.1</v>
      </c>
      <c r="BT16" s="184">
        <v>389.15</v>
      </c>
      <c r="BU16" s="184">
        <v>401.9</v>
      </c>
      <c r="BV16" s="184">
        <v>465.86</v>
      </c>
      <c r="BW16" s="184">
        <v>513.78</v>
      </c>
      <c r="BX16" s="184">
        <v>588.99</v>
      </c>
      <c r="BY16" s="184">
        <v>735.62</v>
      </c>
      <c r="BZ16" s="184">
        <v>754.7</v>
      </c>
      <c r="CA16" s="184">
        <v>266.77999999999997</v>
      </c>
      <c r="CB16" s="184">
        <v>374.87</v>
      </c>
      <c r="CC16" s="184">
        <v>420.03</v>
      </c>
      <c r="CD16" s="184">
        <v>510.82</v>
      </c>
      <c r="CE16" s="184">
        <v>606.30999999999995</v>
      </c>
      <c r="CF16" s="184">
        <v>289.14</v>
      </c>
      <c r="CG16" s="184">
        <v>357.29</v>
      </c>
      <c r="CH16" s="184">
        <v>397.92</v>
      </c>
      <c r="CI16" s="184">
        <v>495.98</v>
      </c>
      <c r="CJ16" s="184">
        <v>507.17</v>
      </c>
      <c r="CK16" s="184">
        <f>'Factor D Back Up'!G1233</f>
        <v>78.237222222222229</v>
      </c>
      <c r="CL16" s="185">
        <f t="shared" ref="CL16:CW16" si="24">CL15*1.003</f>
        <v>0</v>
      </c>
      <c r="CM16" s="184">
        <f t="shared" si="24"/>
        <v>5.3259299999999987</v>
      </c>
      <c r="CN16" s="184">
        <f t="shared" si="24"/>
        <v>9.4281999999999986</v>
      </c>
      <c r="CO16" s="361">
        <f t="shared" si="24"/>
        <v>7.3218999999999994</v>
      </c>
      <c r="CP16" s="369">
        <f t="shared" si="24"/>
        <v>25.064969999999995</v>
      </c>
      <c r="CQ16" s="185">
        <f t="shared" si="24"/>
        <v>25.064969999999995</v>
      </c>
      <c r="CR16" s="185">
        <f t="shared" si="24"/>
        <v>25.064969999999995</v>
      </c>
      <c r="CS16" s="374">
        <f t="shared" si="24"/>
        <v>25.064969999999995</v>
      </c>
      <c r="CT16" s="364">
        <f t="shared" si="24"/>
        <v>11.28375</v>
      </c>
      <c r="CU16" s="184">
        <f t="shared" si="24"/>
        <v>8.2245999999999988</v>
      </c>
      <c r="CV16" s="184">
        <f t="shared" si="24"/>
        <v>4.7341599999999993</v>
      </c>
      <c r="CW16" s="184">
        <f t="shared" si="24"/>
        <v>2.91873</v>
      </c>
      <c r="CX16" s="184"/>
      <c r="CY16" s="185"/>
      <c r="CZ16" s="184"/>
      <c r="DA16" s="184"/>
      <c r="DB16" s="184"/>
      <c r="DC16" s="184"/>
      <c r="DD16" s="184"/>
      <c r="DE16" s="184"/>
      <c r="DF16" s="184"/>
      <c r="DG16" s="184"/>
      <c r="DH16" s="80"/>
      <c r="DI16" s="80"/>
      <c r="DJ16" s="80"/>
      <c r="DK16" s="80"/>
      <c r="DL16" s="80"/>
    </row>
    <row r="17" spans="1:116" s="86" customFormat="1" x14ac:dyDescent="0.25">
      <c r="A17" s="327" t="s">
        <v>503</v>
      </c>
      <c r="B17" s="328">
        <v>16.420000000000002</v>
      </c>
      <c r="C17" s="328">
        <v>18.940000000000001</v>
      </c>
      <c r="D17" s="328">
        <v>16.420000000000002</v>
      </c>
      <c r="E17" s="328">
        <v>15.36</v>
      </c>
      <c r="F17" s="328">
        <v>19.18</v>
      </c>
      <c r="G17" s="328">
        <v>5.05</v>
      </c>
      <c r="H17" s="328">
        <v>25.26</v>
      </c>
      <c r="I17" s="328">
        <v>25.26</v>
      </c>
      <c r="J17" s="328">
        <v>25.26</v>
      </c>
      <c r="K17" s="328">
        <v>5.18</v>
      </c>
      <c r="L17" s="328">
        <v>404.1</v>
      </c>
      <c r="M17" s="328">
        <v>15.36</v>
      </c>
      <c r="N17" s="328">
        <v>15.36</v>
      </c>
      <c r="O17" s="328">
        <v>16.25</v>
      </c>
      <c r="P17" s="328">
        <v>15</v>
      </c>
      <c r="Q17" s="362">
        <v>12.5</v>
      </c>
      <c r="R17" s="370">
        <v>75.77</v>
      </c>
      <c r="S17" s="328">
        <v>75.77</v>
      </c>
      <c r="T17" s="328">
        <v>75.77</v>
      </c>
      <c r="U17" s="537">
        <v>75.77</v>
      </c>
      <c r="V17" s="365">
        <v>248.8</v>
      </c>
      <c r="W17" s="328">
        <v>26.66</v>
      </c>
      <c r="X17" s="328">
        <v>16.420000000000002</v>
      </c>
      <c r="Y17" s="328">
        <v>6.03</v>
      </c>
      <c r="Z17" s="328">
        <f>Z16</f>
        <v>10000</v>
      </c>
      <c r="AA17" s="328">
        <v>50</v>
      </c>
      <c r="AB17" s="328">
        <v>30.7</v>
      </c>
      <c r="AC17" s="328">
        <f>AC16</f>
        <v>10000</v>
      </c>
      <c r="AD17" s="328">
        <v>5.88</v>
      </c>
      <c r="AE17" s="328">
        <f t="shared" ref="AE17" si="25">AE16*(1+$C4)</f>
        <v>0</v>
      </c>
      <c r="AF17" s="328">
        <v>153.56</v>
      </c>
      <c r="AG17" s="328">
        <v>171.74</v>
      </c>
      <c r="AH17" s="328">
        <v>223.26</v>
      </c>
      <c r="AI17" s="328">
        <v>505.12</v>
      </c>
      <c r="AJ17" s="328">
        <v>5000</v>
      </c>
      <c r="AK17" s="328">
        <v>5.49</v>
      </c>
      <c r="AL17" s="328">
        <v>10.39</v>
      </c>
      <c r="AM17" s="328">
        <f>DI17+DJ17</f>
        <v>12.43</v>
      </c>
      <c r="AN17" s="328">
        <v>4.7300000000000004</v>
      </c>
      <c r="AO17" s="328">
        <v>11.98</v>
      </c>
      <c r="AP17" s="328">
        <v>7.21</v>
      </c>
      <c r="AQ17" s="328">
        <v>11.98</v>
      </c>
      <c r="AR17" s="328">
        <v>7.21</v>
      </c>
      <c r="AS17" s="328">
        <v>11.98</v>
      </c>
      <c r="AT17" s="328">
        <v>7.21</v>
      </c>
      <c r="AU17" s="328">
        <v>2.88</v>
      </c>
      <c r="AV17" s="328">
        <v>5.82</v>
      </c>
      <c r="AW17" s="328">
        <v>6.03</v>
      </c>
      <c r="AX17" s="328">
        <v>232.78</v>
      </c>
      <c r="AY17" s="328">
        <v>243.13</v>
      </c>
      <c r="AZ17" s="328">
        <v>328.58</v>
      </c>
      <c r="BA17" s="328">
        <v>338.93</v>
      </c>
      <c r="BB17" s="328">
        <v>378.39</v>
      </c>
      <c r="BC17" s="328">
        <v>428.05</v>
      </c>
      <c r="BD17" s="328">
        <v>507.17</v>
      </c>
      <c r="BE17" s="328">
        <v>317.87</v>
      </c>
      <c r="BF17" s="328">
        <v>330.71</v>
      </c>
      <c r="BG17" s="328">
        <v>395.12</v>
      </c>
      <c r="BH17" s="328">
        <v>443.39</v>
      </c>
      <c r="BI17" s="328">
        <v>519.15</v>
      </c>
      <c r="BJ17" s="328">
        <v>612.46</v>
      </c>
      <c r="BK17" s="328">
        <v>631.67999999999995</v>
      </c>
      <c r="BL17" s="328">
        <v>6.82</v>
      </c>
      <c r="BM17" s="328">
        <v>315.35000000000002</v>
      </c>
      <c r="BN17" s="328">
        <v>325.7</v>
      </c>
      <c r="BO17" s="328">
        <v>411.14</v>
      </c>
      <c r="BP17" s="328">
        <v>421.49</v>
      </c>
      <c r="BQ17" s="328">
        <v>460.96</v>
      </c>
      <c r="BR17" s="328">
        <v>510.61</v>
      </c>
      <c r="BS17" s="328">
        <v>563.14</v>
      </c>
      <c r="BT17" s="328">
        <v>391.96</v>
      </c>
      <c r="BU17" s="328">
        <v>404.8</v>
      </c>
      <c r="BV17" s="328">
        <v>469.22</v>
      </c>
      <c r="BW17" s="328">
        <v>517.49</v>
      </c>
      <c r="BX17" s="328">
        <v>593.24</v>
      </c>
      <c r="BY17" s="328">
        <v>740.93</v>
      </c>
      <c r="BZ17" s="328">
        <v>760.15</v>
      </c>
      <c r="CA17" s="328">
        <v>268.70999999999998</v>
      </c>
      <c r="CB17" s="328">
        <v>377.58</v>
      </c>
      <c r="CC17" s="328">
        <v>423.06</v>
      </c>
      <c r="CD17" s="328">
        <v>514.51</v>
      </c>
      <c r="CE17" s="328">
        <v>610.69000000000005</v>
      </c>
      <c r="CF17" s="328">
        <v>291.23</v>
      </c>
      <c r="CG17" s="328">
        <v>359.87</v>
      </c>
      <c r="CH17" s="328">
        <v>400.79</v>
      </c>
      <c r="CI17" s="328">
        <v>499.56</v>
      </c>
      <c r="CJ17" s="328">
        <v>510.83</v>
      </c>
      <c r="CK17" s="423">
        <f>'Factor D Back Up'!G1234</f>
        <v>98.500754128961461</v>
      </c>
      <c r="CL17" s="328">
        <f t="shared" ref="CL17" si="26">CL16*(1+$C4)</f>
        <v>0</v>
      </c>
      <c r="CM17" s="328">
        <v>5.36</v>
      </c>
      <c r="CN17" s="328">
        <v>9.5</v>
      </c>
      <c r="CO17" s="362">
        <v>7.37</v>
      </c>
      <c r="CP17" s="370">
        <v>25.25</v>
      </c>
      <c r="CQ17" s="328">
        <v>25.25</v>
      </c>
      <c r="CR17" s="328">
        <v>25.25</v>
      </c>
      <c r="CS17" s="537">
        <v>25.25</v>
      </c>
      <c r="CT17" s="365">
        <v>11.37</v>
      </c>
      <c r="CU17" s="365">
        <v>8.2799999999999994</v>
      </c>
      <c r="CV17" s="328">
        <v>4.7699999999999996</v>
      </c>
      <c r="CW17" s="328">
        <v>2.94</v>
      </c>
      <c r="CX17" s="328"/>
      <c r="CY17" s="328"/>
      <c r="CZ17" s="328"/>
      <c r="DA17" s="328"/>
      <c r="DB17" s="328"/>
      <c r="DC17" s="328"/>
      <c r="DD17" s="328"/>
      <c r="DE17" s="328"/>
      <c r="DF17" s="328"/>
      <c r="DG17" s="328"/>
      <c r="DH17" s="328">
        <v>120</v>
      </c>
      <c r="DI17" s="328">
        <v>7.37</v>
      </c>
      <c r="DJ17" s="328">
        <v>5.0599999999999996</v>
      </c>
      <c r="DK17" s="328">
        <v>7.37</v>
      </c>
      <c r="DL17" s="328">
        <v>5.0599999999999996</v>
      </c>
    </row>
    <row r="18" spans="1:116" s="86" customFormat="1" x14ac:dyDescent="0.25">
      <c r="A18" s="522" t="s">
        <v>238</v>
      </c>
      <c r="B18" s="520">
        <f>B17+(B17*$C$5)</f>
        <v>16.846920000000001</v>
      </c>
      <c r="C18" s="521">
        <f t="shared" ref="C18:BN18" si="27">C17+(C17*$C$5)</f>
        <v>19.43244</v>
      </c>
      <c r="D18" s="521">
        <f t="shared" si="27"/>
        <v>16.846920000000001</v>
      </c>
      <c r="E18" s="521">
        <f t="shared" si="27"/>
        <v>15.759359999999999</v>
      </c>
      <c r="F18" s="521">
        <f t="shared" si="27"/>
        <v>19.67868</v>
      </c>
      <c r="G18" s="521">
        <f t="shared" si="27"/>
        <v>5.1813000000000002</v>
      </c>
      <c r="H18" s="520">
        <f t="shared" si="27"/>
        <v>25.91676</v>
      </c>
      <c r="I18" s="520">
        <f t="shared" si="27"/>
        <v>25.91676</v>
      </c>
      <c r="J18" s="520">
        <f t="shared" si="27"/>
        <v>25.91676</v>
      </c>
      <c r="K18" s="521">
        <f t="shared" si="27"/>
        <v>5.3146800000000001</v>
      </c>
      <c r="L18" s="521">
        <f t="shared" si="27"/>
        <v>414.60660000000001</v>
      </c>
      <c r="M18" s="521">
        <f t="shared" si="27"/>
        <v>15.759359999999999</v>
      </c>
      <c r="N18" s="375">
        <f t="shared" si="27"/>
        <v>15.759359999999999</v>
      </c>
      <c r="O18" s="521">
        <f>66.69/4</f>
        <v>16.672499999999999</v>
      </c>
      <c r="P18" s="521">
        <f t="shared" si="27"/>
        <v>15.39</v>
      </c>
      <c r="Q18" s="525">
        <f t="shared" si="27"/>
        <v>12.824999999999999</v>
      </c>
      <c r="R18" s="526">
        <f>R17+(R17*$C$5)</f>
        <v>77.740020000000001</v>
      </c>
      <c r="S18" s="375">
        <v>75</v>
      </c>
      <c r="T18" s="375">
        <v>75</v>
      </c>
      <c r="U18" s="376">
        <v>75</v>
      </c>
      <c r="V18" s="527">
        <f t="shared" si="27"/>
        <v>255.2688</v>
      </c>
      <c r="W18" s="521">
        <f t="shared" si="27"/>
        <v>27.353159999999999</v>
      </c>
      <c r="X18" s="521">
        <f t="shared" si="27"/>
        <v>16.846920000000001</v>
      </c>
      <c r="Y18" s="521">
        <f t="shared" si="27"/>
        <v>6.1867800000000006</v>
      </c>
      <c r="Z18" s="375">
        <f t="shared" si="27"/>
        <v>10260</v>
      </c>
      <c r="AA18" s="375">
        <f t="shared" si="27"/>
        <v>51.3</v>
      </c>
      <c r="AB18" s="375">
        <f t="shared" si="27"/>
        <v>31.498200000000001</v>
      </c>
      <c r="AC18" s="375">
        <f t="shared" si="27"/>
        <v>10260</v>
      </c>
      <c r="AD18" s="521">
        <f t="shared" si="27"/>
        <v>6.0328799999999996</v>
      </c>
      <c r="AE18" s="375">
        <f t="shared" si="27"/>
        <v>0</v>
      </c>
      <c r="AF18" s="521">
        <f t="shared" si="27"/>
        <v>157.55256</v>
      </c>
      <c r="AG18" s="521">
        <f t="shared" si="27"/>
        <v>176.20524</v>
      </c>
      <c r="AH18" s="521">
        <v>229.48</v>
      </c>
      <c r="AI18" s="521">
        <v>518.64</v>
      </c>
      <c r="AJ18" s="521">
        <f>AJ17</f>
        <v>5000</v>
      </c>
      <c r="AK18" s="521">
        <f t="shared" si="27"/>
        <v>5.6327400000000001</v>
      </c>
      <c r="AL18" s="521">
        <f t="shared" si="27"/>
        <v>10.66014</v>
      </c>
      <c r="AM18" s="319">
        <f t="shared" si="27"/>
        <v>12.75318</v>
      </c>
      <c r="AN18" s="521">
        <f t="shared" si="27"/>
        <v>4.8529800000000005</v>
      </c>
      <c r="AO18" s="521">
        <v>12.61</v>
      </c>
      <c r="AP18" s="521">
        <v>6.92</v>
      </c>
      <c r="AQ18" s="521">
        <v>12.61</v>
      </c>
      <c r="AR18" s="521">
        <v>6.92</v>
      </c>
      <c r="AS18" s="521">
        <v>12.61</v>
      </c>
      <c r="AT18" s="521">
        <v>6.92</v>
      </c>
      <c r="AU18" s="521">
        <v>3.34</v>
      </c>
      <c r="AV18" s="521">
        <f t="shared" si="27"/>
        <v>5.9713200000000004</v>
      </c>
      <c r="AW18" s="521">
        <f t="shared" si="27"/>
        <v>6.1867800000000006</v>
      </c>
      <c r="AX18" s="521">
        <f t="shared" si="27"/>
        <v>238.83228</v>
      </c>
      <c r="AY18" s="521">
        <f t="shared" si="27"/>
        <v>249.45138</v>
      </c>
      <c r="AZ18" s="521">
        <f t="shared" si="27"/>
        <v>337.12307999999996</v>
      </c>
      <c r="BA18" s="521">
        <f t="shared" si="27"/>
        <v>347.74218000000002</v>
      </c>
      <c r="BB18" s="521">
        <f t="shared" si="27"/>
        <v>388.22814</v>
      </c>
      <c r="BC18" s="521">
        <f t="shared" si="27"/>
        <v>439.17930000000001</v>
      </c>
      <c r="BD18" s="521">
        <f t="shared" si="27"/>
        <v>520.35642000000007</v>
      </c>
      <c r="BE18" s="521">
        <f t="shared" si="27"/>
        <v>326.13461999999998</v>
      </c>
      <c r="BF18" s="521">
        <f t="shared" si="27"/>
        <v>339.30845999999997</v>
      </c>
      <c r="BG18" s="521">
        <f t="shared" si="27"/>
        <v>405.39312000000001</v>
      </c>
      <c r="BH18" s="521">
        <f t="shared" si="27"/>
        <v>454.91813999999999</v>
      </c>
      <c r="BI18" s="521">
        <f t="shared" si="27"/>
        <v>532.64789999999994</v>
      </c>
      <c r="BJ18" s="521">
        <f t="shared" si="27"/>
        <v>628.38396</v>
      </c>
      <c r="BK18" s="521">
        <f t="shared" si="27"/>
        <v>648.10367999999994</v>
      </c>
      <c r="BL18" s="521">
        <v>7.01</v>
      </c>
      <c r="BM18" s="521">
        <f t="shared" si="27"/>
        <v>323.54910000000001</v>
      </c>
      <c r="BN18" s="521">
        <f t="shared" si="27"/>
        <v>334.16820000000001</v>
      </c>
      <c r="BO18" s="521">
        <f t="shared" ref="BO18:CU18" si="28">BO17+(BO17*$C$5)</f>
        <v>421.82963999999998</v>
      </c>
      <c r="BP18" s="521">
        <f t="shared" si="28"/>
        <v>432.44873999999999</v>
      </c>
      <c r="BQ18" s="521">
        <f t="shared" si="28"/>
        <v>472.94495999999998</v>
      </c>
      <c r="BR18" s="521">
        <f t="shared" si="28"/>
        <v>523.88585999999998</v>
      </c>
      <c r="BS18" s="521">
        <f t="shared" si="28"/>
        <v>577.78164000000004</v>
      </c>
      <c r="BT18" s="521">
        <f t="shared" si="28"/>
        <v>402.15096</v>
      </c>
      <c r="BU18" s="521">
        <f t="shared" si="28"/>
        <v>415.32479999999998</v>
      </c>
      <c r="BV18" s="521">
        <f t="shared" si="28"/>
        <v>481.41972000000004</v>
      </c>
      <c r="BW18" s="521">
        <f t="shared" si="28"/>
        <v>530.94474000000002</v>
      </c>
      <c r="BX18" s="521">
        <f t="shared" si="28"/>
        <v>608.66424000000006</v>
      </c>
      <c r="BY18" s="521">
        <f t="shared" si="28"/>
        <v>760.19417999999996</v>
      </c>
      <c r="BZ18" s="521">
        <f t="shared" si="28"/>
        <v>779.91390000000001</v>
      </c>
      <c r="CA18" s="521">
        <f t="shared" si="28"/>
        <v>275.69646</v>
      </c>
      <c r="CB18" s="521">
        <f t="shared" si="28"/>
        <v>387.39707999999996</v>
      </c>
      <c r="CC18" s="521">
        <v>434.06</v>
      </c>
      <c r="CD18" s="521">
        <v>527.89</v>
      </c>
      <c r="CE18" s="521">
        <v>626.57000000000005</v>
      </c>
      <c r="CF18" s="521">
        <v>298.8</v>
      </c>
      <c r="CG18" s="521">
        <v>369.23</v>
      </c>
      <c r="CH18" s="521">
        <v>411.21</v>
      </c>
      <c r="CI18" s="521">
        <v>512.54999999999995</v>
      </c>
      <c r="CJ18" s="521">
        <v>524.11</v>
      </c>
      <c r="CK18" s="319">
        <f t="shared" si="28"/>
        <v>101.06177373631446</v>
      </c>
      <c r="CL18" s="375">
        <f t="shared" si="28"/>
        <v>0</v>
      </c>
      <c r="CM18" s="521">
        <v>6.08</v>
      </c>
      <c r="CN18" s="521">
        <v>8.76</v>
      </c>
      <c r="CO18" s="525">
        <f t="shared" si="28"/>
        <v>7.5616200000000005</v>
      </c>
      <c r="CP18" s="526">
        <v>31.1</v>
      </c>
      <c r="CQ18" s="375">
        <f t="shared" si="28"/>
        <v>25.906500000000001</v>
      </c>
      <c r="CR18" s="375">
        <f t="shared" si="28"/>
        <v>25.906500000000001</v>
      </c>
      <c r="CS18" s="376">
        <f t="shared" si="28"/>
        <v>25.906500000000001</v>
      </c>
      <c r="CT18" s="527">
        <f t="shared" si="28"/>
        <v>11.665619999999999</v>
      </c>
      <c r="CU18" s="521">
        <f t="shared" si="28"/>
        <v>8.4952799999999993</v>
      </c>
      <c r="CV18" s="521">
        <v>5.18</v>
      </c>
      <c r="CW18" s="521">
        <v>2.5</v>
      </c>
      <c r="CX18" s="521">
        <f>10000/5</f>
        <v>2000</v>
      </c>
      <c r="CY18" s="358"/>
      <c r="CZ18" s="521">
        <v>11.54</v>
      </c>
      <c r="DA18" s="521">
        <v>3.4</v>
      </c>
      <c r="DB18" s="521">
        <v>8.82</v>
      </c>
      <c r="DC18" s="521">
        <v>2.6</v>
      </c>
      <c r="DD18" s="521">
        <v>8.82</v>
      </c>
      <c r="DE18" s="521">
        <v>2.6</v>
      </c>
      <c r="DF18" s="521">
        <v>12.53</v>
      </c>
      <c r="DG18" s="521">
        <v>6.31</v>
      </c>
      <c r="DH18" s="319">
        <f t="shared" ref="DH18" si="29">DH17+(DH17*$C$5)</f>
        <v>123.12</v>
      </c>
      <c r="DI18" s="521">
        <f t="shared" ref="DI18:DJ19" si="30">DI17+(DI17*$C$6)</f>
        <v>7.5616200000000005</v>
      </c>
      <c r="DJ18" s="521">
        <f t="shared" si="30"/>
        <v>5.19156</v>
      </c>
      <c r="DK18" s="521">
        <f t="shared" ref="DK18:DL18" si="31">DK17+(DK17*$C$6)</f>
        <v>7.5616200000000005</v>
      </c>
      <c r="DL18" s="521">
        <f t="shared" si="31"/>
        <v>5.19156</v>
      </c>
    </row>
    <row r="19" spans="1:116" s="86" customFormat="1" x14ac:dyDescent="0.25">
      <c r="A19" s="320" t="s">
        <v>239</v>
      </c>
      <c r="B19" s="321">
        <f>B18+(B18*$C$6)</f>
        <v>17.284939919999999</v>
      </c>
      <c r="C19" s="321">
        <f t="shared" ref="C19:BN19" si="32">C18+(C18*$C$6)</f>
        <v>19.937683440000001</v>
      </c>
      <c r="D19" s="321">
        <f t="shared" si="32"/>
        <v>17.284939919999999</v>
      </c>
      <c r="E19" s="321">
        <f t="shared" si="32"/>
        <v>16.169103359999998</v>
      </c>
      <c r="F19" s="321">
        <f t="shared" si="32"/>
        <v>20.190325680000001</v>
      </c>
      <c r="G19" s="321">
        <f t="shared" si="32"/>
        <v>5.3160138000000003</v>
      </c>
      <c r="H19" s="321">
        <f t="shared" si="32"/>
        <v>26.590595759999999</v>
      </c>
      <c r="I19" s="321">
        <f t="shared" si="32"/>
        <v>26.590595759999999</v>
      </c>
      <c r="J19" s="321">
        <f t="shared" si="32"/>
        <v>26.590595759999999</v>
      </c>
      <c r="K19" s="321">
        <f t="shared" si="32"/>
        <v>5.4528616799999998</v>
      </c>
      <c r="L19" s="321">
        <f t="shared" si="32"/>
        <v>425.38637160000002</v>
      </c>
      <c r="M19" s="321">
        <f t="shared" si="32"/>
        <v>16.169103359999998</v>
      </c>
      <c r="N19" s="377">
        <f t="shared" si="32"/>
        <v>16.169103359999998</v>
      </c>
      <c r="O19" s="321">
        <f t="shared" si="32"/>
        <v>17.105985</v>
      </c>
      <c r="P19" s="321">
        <f t="shared" si="32"/>
        <v>15.790140000000001</v>
      </c>
      <c r="Q19" s="363">
        <f t="shared" si="32"/>
        <v>13.158449999999998</v>
      </c>
      <c r="R19" s="371">
        <f t="shared" si="32"/>
        <v>79.761260520000008</v>
      </c>
      <c r="S19" s="377">
        <f t="shared" si="32"/>
        <v>76.95</v>
      </c>
      <c r="T19" s="377">
        <f t="shared" si="32"/>
        <v>76.95</v>
      </c>
      <c r="U19" s="378">
        <f t="shared" si="32"/>
        <v>76.95</v>
      </c>
      <c r="V19" s="366">
        <f t="shared" si="32"/>
        <v>261.90578879999998</v>
      </c>
      <c r="W19" s="321">
        <f t="shared" si="32"/>
        <v>28.064342159999999</v>
      </c>
      <c r="X19" s="321">
        <f t="shared" si="32"/>
        <v>17.284939919999999</v>
      </c>
      <c r="Y19" s="321">
        <f t="shared" si="32"/>
        <v>6.3476362800000006</v>
      </c>
      <c r="Z19" s="377">
        <f t="shared" si="32"/>
        <v>10526.76</v>
      </c>
      <c r="AA19" s="377">
        <f t="shared" si="32"/>
        <v>52.633799999999994</v>
      </c>
      <c r="AB19" s="377">
        <f t="shared" si="32"/>
        <v>32.3171532</v>
      </c>
      <c r="AC19" s="377">
        <f t="shared" si="32"/>
        <v>10526.76</v>
      </c>
      <c r="AD19" s="321">
        <f t="shared" si="32"/>
        <v>6.1897348799999996</v>
      </c>
      <c r="AE19" s="377">
        <f t="shared" si="32"/>
        <v>0</v>
      </c>
      <c r="AF19" s="321">
        <f t="shared" si="32"/>
        <v>161.64892656000001</v>
      </c>
      <c r="AG19" s="321">
        <f t="shared" si="32"/>
        <v>180.78657624000002</v>
      </c>
      <c r="AH19" s="321">
        <f t="shared" si="32"/>
        <v>235.44647999999998</v>
      </c>
      <c r="AI19" s="321">
        <f t="shared" si="32"/>
        <v>532.12464</v>
      </c>
      <c r="AJ19" s="321">
        <f>AJ18</f>
        <v>5000</v>
      </c>
      <c r="AK19" s="321">
        <f t="shared" si="32"/>
        <v>5.7791912400000003</v>
      </c>
      <c r="AL19" s="321">
        <f t="shared" si="32"/>
        <v>10.93730364</v>
      </c>
      <c r="AM19" s="321">
        <f t="shared" si="32"/>
        <v>13.084762680000001</v>
      </c>
      <c r="AN19" s="321">
        <f t="shared" si="32"/>
        <v>4.9791574800000005</v>
      </c>
      <c r="AO19" s="321">
        <f t="shared" si="32"/>
        <v>12.937859999999999</v>
      </c>
      <c r="AP19" s="321">
        <f t="shared" si="32"/>
        <v>7.09992</v>
      </c>
      <c r="AQ19" s="321">
        <f t="shared" si="32"/>
        <v>12.937859999999999</v>
      </c>
      <c r="AR19" s="321">
        <f t="shared" si="32"/>
        <v>7.09992</v>
      </c>
      <c r="AS19" s="321">
        <f t="shared" si="32"/>
        <v>12.937859999999999</v>
      </c>
      <c r="AT19" s="321">
        <f t="shared" si="32"/>
        <v>7.09992</v>
      </c>
      <c r="AU19" s="321">
        <f t="shared" si="32"/>
        <v>3.4268399999999999</v>
      </c>
      <c r="AV19" s="321">
        <f t="shared" si="32"/>
        <v>6.1265743200000005</v>
      </c>
      <c r="AW19" s="321">
        <f t="shared" si="32"/>
        <v>6.3476362800000006</v>
      </c>
      <c r="AX19" s="321">
        <f t="shared" si="32"/>
        <v>245.04191928</v>
      </c>
      <c r="AY19" s="321">
        <f t="shared" si="32"/>
        <v>255.93711587999999</v>
      </c>
      <c r="AZ19" s="321">
        <f t="shared" si="32"/>
        <v>345.88828007999996</v>
      </c>
      <c r="BA19" s="321">
        <f t="shared" si="32"/>
        <v>356.78347668000004</v>
      </c>
      <c r="BB19" s="321">
        <f t="shared" si="32"/>
        <v>398.32207163999999</v>
      </c>
      <c r="BC19" s="321">
        <f t="shared" si="32"/>
        <v>450.59796180000001</v>
      </c>
      <c r="BD19" s="321">
        <f t="shared" si="32"/>
        <v>533.88568692000013</v>
      </c>
      <c r="BE19" s="321">
        <f t="shared" si="32"/>
        <v>334.61412012</v>
      </c>
      <c r="BF19" s="321">
        <f t="shared" si="32"/>
        <v>348.13047995999995</v>
      </c>
      <c r="BG19" s="321">
        <f t="shared" si="32"/>
        <v>415.93334112000002</v>
      </c>
      <c r="BH19" s="321">
        <f t="shared" si="32"/>
        <v>466.74601164000001</v>
      </c>
      <c r="BI19" s="321">
        <f t="shared" si="32"/>
        <v>546.4967453999999</v>
      </c>
      <c r="BJ19" s="321">
        <f t="shared" si="32"/>
        <v>644.72194295999998</v>
      </c>
      <c r="BK19" s="321">
        <f t="shared" si="32"/>
        <v>664.95437567999988</v>
      </c>
      <c r="BL19" s="321">
        <f t="shared" si="32"/>
        <v>7.1922600000000001</v>
      </c>
      <c r="BM19" s="321">
        <f t="shared" si="32"/>
        <v>331.96137659999999</v>
      </c>
      <c r="BN19" s="321">
        <f t="shared" si="32"/>
        <v>342.85657320000001</v>
      </c>
      <c r="BO19" s="321">
        <f t="shared" ref="BO19:CW19" si="33">BO18+(BO18*$C$6)</f>
        <v>432.79721064</v>
      </c>
      <c r="BP19" s="321">
        <f t="shared" si="33"/>
        <v>443.69240723999997</v>
      </c>
      <c r="BQ19" s="321">
        <f t="shared" si="33"/>
        <v>485.24152895999998</v>
      </c>
      <c r="BR19" s="321">
        <f t="shared" si="33"/>
        <v>537.50689235999994</v>
      </c>
      <c r="BS19" s="321">
        <f t="shared" si="33"/>
        <v>592.80396264000001</v>
      </c>
      <c r="BT19" s="321">
        <f t="shared" si="33"/>
        <v>412.60688496</v>
      </c>
      <c r="BU19" s="321">
        <f t="shared" si="33"/>
        <v>426.12324479999995</v>
      </c>
      <c r="BV19" s="321">
        <f t="shared" si="33"/>
        <v>493.93663272000003</v>
      </c>
      <c r="BW19" s="321">
        <f t="shared" si="33"/>
        <v>544.74930324000002</v>
      </c>
      <c r="BX19" s="321">
        <f t="shared" si="33"/>
        <v>624.48951024000007</v>
      </c>
      <c r="BY19" s="321">
        <f t="shared" si="33"/>
        <v>779.95922867999991</v>
      </c>
      <c r="BZ19" s="321">
        <f t="shared" si="33"/>
        <v>800.19166140000004</v>
      </c>
      <c r="CA19" s="321">
        <f t="shared" si="33"/>
        <v>282.86456795999999</v>
      </c>
      <c r="CB19" s="321">
        <f t="shared" si="33"/>
        <v>397.46940407999995</v>
      </c>
      <c r="CC19" s="321">
        <f t="shared" si="33"/>
        <v>445.34555999999998</v>
      </c>
      <c r="CD19" s="321">
        <f t="shared" si="33"/>
        <v>541.61514</v>
      </c>
      <c r="CE19" s="321">
        <f t="shared" si="33"/>
        <v>642.8608200000001</v>
      </c>
      <c r="CF19" s="321">
        <f t="shared" si="33"/>
        <v>306.56880000000001</v>
      </c>
      <c r="CG19" s="321">
        <f t="shared" si="33"/>
        <v>378.82998000000003</v>
      </c>
      <c r="CH19" s="321">
        <f t="shared" si="33"/>
        <v>421.90145999999999</v>
      </c>
      <c r="CI19" s="321">
        <f t="shared" si="33"/>
        <v>525.8762999999999</v>
      </c>
      <c r="CJ19" s="321">
        <f t="shared" si="33"/>
        <v>537.73685999999998</v>
      </c>
      <c r="CK19" s="321">
        <f t="shared" si="33"/>
        <v>103.68937985345865</v>
      </c>
      <c r="CL19" s="377">
        <f t="shared" si="33"/>
        <v>0</v>
      </c>
      <c r="CM19" s="321">
        <f t="shared" si="33"/>
        <v>6.2380800000000001</v>
      </c>
      <c r="CN19" s="321">
        <f t="shared" si="33"/>
        <v>8.9877599999999997</v>
      </c>
      <c r="CO19" s="363">
        <f t="shared" si="33"/>
        <v>7.7582221200000001</v>
      </c>
      <c r="CP19" s="371">
        <f t="shared" si="33"/>
        <v>31.9086</v>
      </c>
      <c r="CQ19" s="377">
        <f t="shared" si="33"/>
        <v>26.580069000000002</v>
      </c>
      <c r="CR19" s="377">
        <f t="shared" si="33"/>
        <v>26.580069000000002</v>
      </c>
      <c r="CS19" s="378">
        <f t="shared" si="33"/>
        <v>26.580069000000002</v>
      </c>
      <c r="CT19" s="366">
        <f t="shared" si="33"/>
        <v>11.968926119999999</v>
      </c>
      <c r="CU19" s="321">
        <f t="shared" si="33"/>
        <v>8.7161572799999991</v>
      </c>
      <c r="CV19" s="321">
        <f t="shared" si="33"/>
        <v>5.3146800000000001</v>
      </c>
      <c r="CW19" s="321">
        <f t="shared" si="33"/>
        <v>2.5649999999999999</v>
      </c>
      <c r="CX19" s="531">
        <f t="shared" ref="CX19:CX22" si="34">10000/5</f>
        <v>2000</v>
      </c>
      <c r="CY19" s="359"/>
      <c r="CZ19" s="321">
        <f t="shared" ref="CZ19:DE19" si="35">CZ18+(CZ18*$C$6)</f>
        <v>11.840039999999998</v>
      </c>
      <c r="DA19" s="321">
        <f t="shared" si="35"/>
        <v>3.4883999999999999</v>
      </c>
      <c r="DB19" s="321">
        <f t="shared" si="35"/>
        <v>9.0493199999999998</v>
      </c>
      <c r="DC19" s="321">
        <f t="shared" si="35"/>
        <v>2.6676000000000002</v>
      </c>
      <c r="DD19" s="321">
        <f t="shared" si="35"/>
        <v>9.0493199999999998</v>
      </c>
      <c r="DE19" s="321">
        <f t="shared" si="35"/>
        <v>2.6676000000000002</v>
      </c>
      <c r="DF19" s="321">
        <f t="shared" ref="DF19" si="36">DF18+(DF18*$C$6)</f>
        <v>12.855779999999999</v>
      </c>
      <c r="DG19" s="321">
        <f t="shared" ref="DG19:DH19" si="37">DG18+(DG18*$C$6)</f>
        <v>6.4740599999999997</v>
      </c>
      <c r="DH19" s="321">
        <f t="shared" si="37"/>
        <v>126.32112000000001</v>
      </c>
      <c r="DI19" s="321">
        <f t="shared" si="30"/>
        <v>7.7582221200000001</v>
      </c>
      <c r="DJ19" s="321">
        <f t="shared" si="30"/>
        <v>5.3265405599999998</v>
      </c>
      <c r="DK19" s="321">
        <f t="shared" ref="DK19:DL19" si="38">DK18+(DK18*$C$6)</f>
        <v>7.7582221200000001</v>
      </c>
      <c r="DL19" s="321">
        <f t="shared" si="38"/>
        <v>5.3265405599999998</v>
      </c>
    </row>
    <row r="20" spans="1:116" s="86" customFormat="1" x14ac:dyDescent="0.25">
      <c r="A20" s="320" t="s">
        <v>240</v>
      </c>
      <c r="B20" s="321">
        <f>B19+(B19*$C$7)</f>
        <v>17.734348357919998</v>
      </c>
      <c r="C20" s="321">
        <f t="shared" ref="C20:BN20" si="39">C19+(C19*$C$7)</f>
        <v>20.45606320944</v>
      </c>
      <c r="D20" s="321">
        <f t="shared" si="39"/>
        <v>17.734348357919998</v>
      </c>
      <c r="E20" s="321">
        <f t="shared" si="39"/>
        <v>16.589500047359998</v>
      </c>
      <c r="F20" s="321">
        <f t="shared" si="39"/>
        <v>20.715274147680002</v>
      </c>
      <c r="G20" s="321">
        <f t="shared" si="39"/>
        <v>5.4542301588000006</v>
      </c>
      <c r="H20" s="321">
        <f t="shared" si="39"/>
        <v>27.281951249759999</v>
      </c>
      <c r="I20" s="321">
        <f t="shared" si="39"/>
        <v>27.281951249759999</v>
      </c>
      <c r="J20" s="321">
        <f t="shared" si="39"/>
        <v>27.281951249759999</v>
      </c>
      <c r="K20" s="321">
        <f t="shared" si="39"/>
        <v>5.5946360836800002</v>
      </c>
      <c r="L20" s="321">
        <f t="shared" si="39"/>
        <v>436.4464172616</v>
      </c>
      <c r="M20" s="321">
        <f t="shared" si="39"/>
        <v>16.589500047359998</v>
      </c>
      <c r="N20" s="377">
        <f t="shared" si="39"/>
        <v>16.589500047359998</v>
      </c>
      <c r="O20" s="321">
        <f t="shared" si="39"/>
        <v>17.550740610000002</v>
      </c>
      <c r="P20" s="321">
        <f t="shared" si="39"/>
        <v>16.200683640000001</v>
      </c>
      <c r="Q20" s="363">
        <f t="shared" si="39"/>
        <v>13.500569699999998</v>
      </c>
      <c r="R20" s="371">
        <f t="shared" si="39"/>
        <v>81.835053293520005</v>
      </c>
      <c r="S20" s="377">
        <f t="shared" si="39"/>
        <v>78.950699999999998</v>
      </c>
      <c r="T20" s="377">
        <f t="shared" si="39"/>
        <v>78.950699999999998</v>
      </c>
      <c r="U20" s="378">
        <f t="shared" si="39"/>
        <v>78.950699999999998</v>
      </c>
      <c r="V20" s="366">
        <f t="shared" si="39"/>
        <v>268.71533930879997</v>
      </c>
      <c r="W20" s="321">
        <f t="shared" si="39"/>
        <v>28.794015056159999</v>
      </c>
      <c r="X20" s="321">
        <f t="shared" si="39"/>
        <v>17.734348357919998</v>
      </c>
      <c r="Y20" s="321">
        <f t="shared" si="39"/>
        <v>6.5126748232800002</v>
      </c>
      <c r="Z20" s="377">
        <f t="shared" si="39"/>
        <v>10800.455760000001</v>
      </c>
      <c r="AA20" s="377">
        <f t="shared" si="39"/>
        <v>54.002278799999992</v>
      </c>
      <c r="AB20" s="377">
        <f t="shared" si="39"/>
        <v>33.157399183199999</v>
      </c>
      <c r="AC20" s="377">
        <f t="shared" si="39"/>
        <v>10800.455760000001</v>
      </c>
      <c r="AD20" s="321">
        <f t="shared" si="39"/>
        <v>6.3506679868799996</v>
      </c>
      <c r="AE20" s="377">
        <f t="shared" si="39"/>
        <v>0</v>
      </c>
      <c r="AF20" s="321">
        <f t="shared" si="39"/>
        <v>165.85179865056</v>
      </c>
      <c r="AG20" s="321">
        <f t="shared" si="39"/>
        <v>185.48702722224002</v>
      </c>
      <c r="AH20" s="321">
        <f t="shared" si="39"/>
        <v>241.56808847999997</v>
      </c>
      <c r="AI20" s="321">
        <f t="shared" si="39"/>
        <v>545.95988064000005</v>
      </c>
      <c r="AJ20" s="321">
        <f>AJ19</f>
        <v>5000</v>
      </c>
      <c r="AK20" s="321">
        <f t="shared" si="39"/>
        <v>5.9294502122399999</v>
      </c>
      <c r="AL20" s="321">
        <f t="shared" si="39"/>
        <v>11.221673534639999</v>
      </c>
      <c r="AM20" s="321">
        <f t="shared" si="39"/>
        <v>13.424966509680001</v>
      </c>
      <c r="AN20" s="321">
        <f t="shared" si="39"/>
        <v>5.1086155744800008</v>
      </c>
      <c r="AO20" s="321">
        <f t="shared" si="39"/>
        <v>13.274244359999999</v>
      </c>
      <c r="AP20" s="321">
        <f t="shared" si="39"/>
        <v>7.2845179199999999</v>
      </c>
      <c r="AQ20" s="321">
        <f t="shared" si="39"/>
        <v>13.274244359999999</v>
      </c>
      <c r="AR20" s="321">
        <f t="shared" si="39"/>
        <v>7.2845179199999999</v>
      </c>
      <c r="AS20" s="321">
        <f t="shared" si="39"/>
        <v>13.274244359999999</v>
      </c>
      <c r="AT20" s="321">
        <f t="shared" si="39"/>
        <v>7.2845179199999999</v>
      </c>
      <c r="AU20" s="321">
        <f t="shared" si="39"/>
        <v>3.5159378399999999</v>
      </c>
      <c r="AV20" s="321">
        <f t="shared" si="39"/>
        <v>6.2858652523200007</v>
      </c>
      <c r="AW20" s="321">
        <f t="shared" si="39"/>
        <v>6.5126748232800002</v>
      </c>
      <c r="AX20" s="321">
        <f t="shared" si="39"/>
        <v>251.41300918127999</v>
      </c>
      <c r="AY20" s="321">
        <f t="shared" si="39"/>
        <v>262.59148089287999</v>
      </c>
      <c r="AZ20" s="321">
        <f t="shared" si="39"/>
        <v>354.88137536207995</v>
      </c>
      <c r="BA20" s="321">
        <f t="shared" si="39"/>
        <v>366.05984707368003</v>
      </c>
      <c r="BB20" s="321">
        <f t="shared" si="39"/>
        <v>408.67844550263999</v>
      </c>
      <c r="BC20" s="321">
        <f t="shared" si="39"/>
        <v>462.31350880680003</v>
      </c>
      <c r="BD20" s="321">
        <f t="shared" si="39"/>
        <v>547.76671477992011</v>
      </c>
      <c r="BE20" s="321">
        <f t="shared" si="39"/>
        <v>343.31408724312001</v>
      </c>
      <c r="BF20" s="321">
        <f t="shared" si="39"/>
        <v>357.18187243895994</v>
      </c>
      <c r="BG20" s="321">
        <f t="shared" si="39"/>
        <v>426.74760798912001</v>
      </c>
      <c r="BH20" s="321">
        <f t="shared" si="39"/>
        <v>478.88140794264001</v>
      </c>
      <c r="BI20" s="321">
        <f t="shared" si="39"/>
        <v>560.70566078039985</v>
      </c>
      <c r="BJ20" s="321">
        <f t="shared" si="39"/>
        <v>661.48471347696</v>
      </c>
      <c r="BK20" s="321">
        <f t="shared" si="39"/>
        <v>682.24318944767992</v>
      </c>
      <c r="BL20" s="321">
        <f t="shared" si="39"/>
        <v>7.3792587599999999</v>
      </c>
      <c r="BM20" s="321">
        <f t="shared" si="39"/>
        <v>340.59237239160001</v>
      </c>
      <c r="BN20" s="321">
        <f t="shared" si="39"/>
        <v>351.77084410320003</v>
      </c>
      <c r="BO20" s="321">
        <f t="shared" ref="BO20:CW20" si="40">BO19+(BO19*$C$7)</f>
        <v>444.04993811664002</v>
      </c>
      <c r="BP20" s="321">
        <f t="shared" si="40"/>
        <v>455.22840982823999</v>
      </c>
      <c r="BQ20" s="321">
        <f t="shared" si="40"/>
        <v>497.85780871295998</v>
      </c>
      <c r="BR20" s="321">
        <f t="shared" si="40"/>
        <v>551.48207156135993</v>
      </c>
      <c r="BS20" s="321">
        <f t="shared" si="40"/>
        <v>608.21686566864003</v>
      </c>
      <c r="BT20" s="321">
        <f t="shared" si="40"/>
        <v>423.33466396896</v>
      </c>
      <c r="BU20" s="321">
        <f t="shared" si="40"/>
        <v>437.20244916479993</v>
      </c>
      <c r="BV20" s="321">
        <f t="shared" si="40"/>
        <v>506.77898517072003</v>
      </c>
      <c r="BW20" s="321">
        <f t="shared" si="40"/>
        <v>558.91278512424003</v>
      </c>
      <c r="BX20" s="321">
        <f t="shared" si="40"/>
        <v>640.72623750624007</v>
      </c>
      <c r="BY20" s="321">
        <f t="shared" si="40"/>
        <v>800.23816862567992</v>
      </c>
      <c r="BZ20" s="321">
        <f t="shared" si="40"/>
        <v>820.99664459640007</v>
      </c>
      <c r="CA20" s="321">
        <f t="shared" si="40"/>
        <v>290.21904672695996</v>
      </c>
      <c r="CB20" s="321">
        <f t="shared" si="40"/>
        <v>407.80360858607992</v>
      </c>
      <c r="CC20" s="321">
        <f t="shared" si="40"/>
        <v>456.92454455999996</v>
      </c>
      <c r="CD20" s="321">
        <f t="shared" si="40"/>
        <v>555.69713363999995</v>
      </c>
      <c r="CE20" s="321">
        <f t="shared" si="40"/>
        <v>659.57520132000013</v>
      </c>
      <c r="CF20" s="321">
        <f t="shared" si="40"/>
        <v>314.53958879999999</v>
      </c>
      <c r="CG20" s="321">
        <f t="shared" si="40"/>
        <v>388.67955948000002</v>
      </c>
      <c r="CH20" s="321">
        <f t="shared" si="40"/>
        <v>432.87089795999998</v>
      </c>
      <c r="CI20" s="321">
        <f t="shared" si="40"/>
        <v>539.54908379999995</v>
      </c>
      <c r="CJ20" s="321">
        <f t="shared" si="40"/>
        <v>551.71801835999997</v>
      </c>
      <c r="CK20" s="321">
        <f t="shared" si="40"/>
        <v>106.38530372964857</v>
      </c>
      <c r="CL20" s="377">
        <f t="shared" si="40"/>
        <v>0</v>
      </c>
      <c r="CM20" s="321">
        <f t="shared" si="40"/>
        <v>6.4002700800000003</v>
      </c>
      <c r="CN20" s="321">
        <f t="shared" si="40"/>
        <v>9.2214417599999994</v>
      </c>
      <c r="CO20" s="363">
        <f t="shared" si="40"/>
        <v>7.9599358951200001</v>
      </c>
      <c r="CP20" s="371">
        <f t="shared" si="40"/>
        <v>32.738223599999998</v>
      </c>
      <c r="CQ20" s="377">
        <f t="shared" si="40"/>
        <v>27.271150794</v>
      </c>
      <c r="CR20" s="377">
        <f t="shared" si="40"/>
        <v>27.271150794</v>
      </c>
      <c r="CS20" s="378">
        <f t="shared" si="40"/>
        <v>27.271150794</v>
      </c>
      <c r="CT20" s="366">
        <f t="shared" si="40"/>
        <v>12.280118199119999</v>
      </c>
      <c r="CU20" s="321">
        <f t="shared" si="40"/>
        <v>8.9427773692799999</v>
      </c>
      <c r="CV20" s="321">
        <f t="shared" si="40"/>
        <v>5.4528616799999998</v>
      </c>
      <c r="CW20" s="321">
        <f t="shared" si="40"/>
        <v>2.6316899999999999</v>
      </c>
      <c r="CX20" s="531">
        <f t="shared" si="34"/>
        <v>2000</v>
      </c>
      <c r="CY20" s="359"/>
      <c r="CZ20" s="321">
        <f t="shared" ref="CZ20:DE20" si="41">CZ19+(CZ19*$C$7)</f>
        <v>12.147881039999998</v>
      </c>
      <c r="DA20" s="321">
        <f t="shared" si="41"/>
        <v>3.5790983999999999</v>
      </c>
      <c r="DB20" s="321">
        <f t="shared" si="41"/>
        <v>9.2846023199999994</v>
      </c>
      <c r="DC20" s="321">
        <f t="shared" si="41"/>
        <v>2.7369576000000002</v>
      </c>
      <c r="DD20" s="321">
        <f t="shared" si="41"/>
        <v>9.2846023199999994</v>
      </c>
      <c r="DE20" s="321">
        <f t="shared" si="41"/>
        <v>2.7369576000000002</v>
      </c>
      <c r="DF20" s="321">
        <f t="shared" ref="DF20" si="42">DF19+(DF19*$C$7)</f>
        <v>13.190030279999998</v>
      </c>
      <c r="DG20" s="321">
        <f t="shared" ref="DG20:DH20" si="43">DG19+(DG19*$C$7)</f>
        <v>6.6423855599999992</v>
      </c>
      <c r="DH20" s="321">
        <f t="shared" si="43"/>
        <v>129.60546912000001</v>
      </c>
      <c r="DI20" s="321">
        <f t="shared" ref="DI20:DJ20" si="44">DI19+(DI19*$C$7)</f>
        <v>7.9599358951200001</v>
      </c>
      <c r="DJ20" s="321">
        <f t="shared" si="44"/>
        <v>5.4650306145599998</v>
      </c>
      <c r="DK20" s="321">
        <f t="shared" ref="DK20:DL20" si="45">DK19+(DK19*$C$7)</f>
        <v>7.9599358951200001</v>
      </c>
      <c r="DL20" s="321">
        <f t="shared" si="45"/>
        <v>5.4650306145599998</v>
      </c>
    </row>
    <row r="21" spans="1:116" s="86" customFormat="1" x14ac:dyDescent="0.25">
      <c r="A21" s="320" t="s">
        <v>241</v>
      </c>
      <c r="B21" s="321">
        <f>B20+(B20*$C$8)</f>
        <v>18.195441415225918</v>
      </c>
      <c r="C21" s="321">
        <f t="shared" ref="C21:BN21" si="46">C20+(C20*$C$8)</f>
        <v>20.987920852885441</v>
      </c>
      <c r="D21" s="321">
        <f t="shared" si="46"/>
        <v>18.195441415225918</v>
      </c>
      <c r="E21" s="321">
        <f t="shared" si="46"/>
        <v>17.020827048591357</v>
      </c>
      <c r="F21" s="321">
        <f t="shared" si="46"/>
        <v>21.253871275519682</v>
      </c>
      <c r="G21" s="321">
        <f t="shared" si="46"/>
        <v>5.5960401429288007</v>
      </c>
      <c r="H21" s="321">
        <f t="shared" si="46"/>
        <v>27.99128198225376</v>
      </c>
      <c r="I21" s="321">
        <f t="shared" si="46"/>
        <v>27.99128198225376</v>
      </c>
      <c r="J21" s="321">
        <f t="shared" si="46"/>
        <v>27.99128198225376</v>
      </c>
      <c r="K21" s="321">
        <f t="shared" si="46"/>
        <v>5.7400966218556801</v>
      </c>
      <c r="L21" s="321">
        <f t="shared" si="46"/>
        <v>447.79402411040161</v>
      </c>
      <c r="M21" s="321">
        <f t="shared" si="46"/>
        <v>17.020827048591357</v>
      </c>
      <c r="N21" s="377">
        <f t="shared" si="46"/>
        <v>17.020827048591357</v>
      </c>
      <c r="O21" s="321">
        <f t="shared" si="46"/>
        <v>18.007059865860001</v>
      </c>
      <c r="P21" s="321">
        <f t="shared" si="46"/>
        <v>16.62190141464</v>
      </c>
      <c r="Q21" s="363">
        <f t="shared" si="46"/>
        <v>13.851584512199999</v>
      </c>
      <c r="R21" s="371">
        <f t="shared" si="46"/>
        <v>83.962764679151519</v>
      </c>
      <c r="S21" s="377">
        <f t="shared" si="46"/>
        <v>81.003418199999999</v>
      </c>
      <c r="T21" s="377">
        <f t="shared" si="46"/>
        <v>81.003418199999999</v>
      </c>
      <c r="U21" s="378">
        <f t="shared" si="46"/>
        <v>81.003418199999999</v>
      </c>
      <c r="V21" s="366">
        <f t="shared" si="46"/>
        <v>275.70193813082875</v>
      </c>
      <c r="W21" s="321">
        <f t="shared" si="46"/>
        <v>29.54265944762016</v>
      </c>
      <c r="X21" s="321">
        <f t="shared" si="46"/>
        <v>18.195441415225918</v>
      </c>
      <c r="Y21" s="321">
        <f t="shared" si="46"/>
        <v>6.6820043686852806</v>
      </c>
      <c r="Z21" s="377">
        <f t="shared" si="46"/>
        <v>11081.267609760002</v>
      </c>
      <c r="AA21" s="377">
        <f t="shared" si="46"/>
        <v>55.406338048799995</v>
      </c>
      <c r="AB21" s="377">
        <f t="shared" si="46"/>
        <v>34.0194915619632</v>
      </c>
      <c r="AC21" s="377">
        <f t="shared" si="46"/>
        <v>11081.267609760002</v>
      </c>
      <c r="AD21" s="321">
        <f t="shared" si="46"/>
        <v>6.5157853545388793</v>
      </c>
      <c r="AE21" s="377">
        <f t="shared" si="46"/>
        <v>0</v>
      </c>
      <c r="AF21" s="321">
        <f t="shared" si="46"/>
        <v>170.16394541547456</v>
      </c>
      <c r="AG21" s="321">
        <f t="shared" si="46"/>
        <v>190.30968993001827</v>
      </c>
      <c r="AH21" s="321">
        <f t="shared" si="46"/>
        <v>247.84885878047996</v>
      </c>
      <c r="AI21" s="321">
        <f t="shared" si="46"/>
        <v>560.15483753664</v>
      </c>
      <c r="AJ21" s="321">
        <f>AJ20</f>
        <v>5000</v>
      </c>
      <c r="AK21" s="321">
        <f t="shared" si="46"/>
        <v>6.0836159177582401</v>
      </c>
      <c r="AL21" s="321">
        <f t="shared" si="46"/>
        <v>11.513437046540639</v>
      </c>
      <c r="AM21" s="321">
        <f t="shared" si="46"/>
        <v>13.774015638931681</v>
      </c>
      <c r="AN21" s="321">
        <f t="shared" si="46"/>
        <v>5.2414395794164808</v>
      </c>
      <c r="AO21" s="321">
        <f t="shared" si="46"/>
        <v>13.619374713359999</v>
      </c>
      <c r="AP21" s="321">
        <f t="shared" si="46"/>
        <v>7.4739153859199998</v>
      </c>
      <c r="AQ21" s="321">
        <f t="shared" si="46"/>
        <v>13.619374713359999</v>
      </c>
      <c r="AR21" s="321">
        <f t="shared" si="46"/>
        <v>7.4739153859199998</v>
      </c>
      <c r="AS21" s="321">
        <f t="shared" si="46"/>
        <v>13.619374713359999</v>
      </c>
      <c r="AT21" s="321">
        <f t="shared" si="46"/>
        <v>7.4739153859199998</v>
      </c>
      <c r="AU21" s="321">
        <f t="shared" si="46"/>
        <v>3.60735222384</v>
      </c>
      <c r="AV21" s="321">
        <f t="shared" si="46"/>
        <v>6.4492977488803209</v>
      </c>
      <c r="AW21" s="321">
        <f t="shared" si="46"/>
        <v>6.6820043686852806</v>
      </c>
      <c r="AX21" s="321">
        <f t="shared" si="46"/>
        <v>257.94974741999329</v>
      </c>
      <c r="AY21" s="321">
        <f t="shared" si="46"/>
        <v>269.41885939609489</v>
      </c>
      <c r="AZ21" s="321">
        <f t="shared" si="46"/>
        <v>364.10829112149401</v>
      </c>
      <c r="BA21" s="321">
        <f t="shared" si="46"/>
        <v>375.57740309759572</v>
      </c>
      <c r="BB21" s="321">
        <f t="shared" si="46"/>
        <v>419.30408508570861</v>
      </c>
      <c r="BC21" s="321">
        <f t="shared" si="46"/>
        <v>474.3336600357768</v>
      </c>
      <c r="BD21" s="321">
        <f t="shared" si="46"/>
        <v>562.00864936419805</v>
      </c>
      <c r="BE21" s="321">
        <f t="shared" si="46"/>
        <v>352.24025351144115</v>
      </c>
      <c r="BF21" s="321">
        <f t="shared" si="46"/>
        <v>366.46860112237289</v>
      </c>
      <c r="BG21" s="321">
        <f t="shared" si="46"/>
        <v>437.84304579683715</v>
      </c>
      <c r="BH21" s="321">
        <f t="shared" si="46"/>
        <v>491.33232454914867</v>
      </c>
      <c r="BI21" s="321">
        <f t="shared" si="46"/>
        <v>575.28400796069025</v>
      </c>
      <c r="BJ21" s="321">
        <f t="shared" si="46"/>
        <v>678.683316027361</v>
      </c>
      <c r="BK21" s="321">
        <f t="shared" si="46"/>
        <v>699.98151237331956</v>
      </c>
      <c r="BL21" s="321">
        <f t="shared" si="46"/>
        <v>7.5711194877599999</v>
      </c>
      <c r="BM21" s="321">
        <f t="shared" si="46"/>
        <v>349.4477740737816</v>
      </c>
      <c r="BN21" s="321">
        <f t="shared" si="46"/>
        <v>360.91688604988326</v>
      </c>
      <c r="BO21" s="321">
        <f t="shared" ref="BO21:CW21" si="47">BO20+(BO20*$C$8)</f>
        <v>455.59523650767267</v>
      </c>
      <c r="BP21" s="321">
        <f t="shared" si="47"/>
        <v>467.06434848377421</v>
      </c>
      <c r="BQ21" s="321">
        <f t="shared" si="47"/>
        <v>510.80211173949692</v>
      </c>
      <c r="BR21" s="321">
        <f t="shared" si="47"/>
        <v>565.82060542195529</v>
      </c>
      <c r="BS21" s="321">
        <f t="shared" si="47"/>
        <v>624.03050417602469</v>
      </c>
      <c r="BT21" s="321">
        <f t="shared" si="47"/>
        <v>434.34136523215295</v>
      </c>
      <c r="BU21" s="321">
        <f t="shared" si="47"/>
        <v>448.56971284308474</v>
      </c>
      <c r="BV21" s="321">
        <f t="shared" si="47"/>
        <v>519.95523878515871</v>
      </c>
      <c r="BW21" s="321">
        <f t="shared" si="47"/>
        <v>573.44451753747023</v>
      </c>
      <c r="BX21" s="321">
        <f t="shared" si="47"/>
        <v>657.38511968140233</v>
      </c>
      <c r="BY21" s="321">
        <f t="shared" si="47"/>
        <v>821.04436100994758</v>
      </c>
      <c r="BZ21" s="321">
        <f t="shared" si="47"/>
        <v>842.34255735590648</v>
      </c>
      <c r="CA21" s="321">
        <f t="shared" si="47"/>
        <v>297.7647419418609</v>
      </c>
      <c r="CB21" s="321">
        <f t="shared" si="47"/>
        <v>418.40650240931802</v>
      </c>
      <c r="CC21" s="321">
        <f t="shared" si="47"/>
        <v>468.80458271855997</v>
      </c>
      <c r="CD21" s="321">
        <f t="shared" si="47"/>
        <v>570.14525911464</v>
      </c>
      <c r="CE21" s="321">
        <f t="shared" si="47"/>
        <v>676.72415655432019</v>
      </c>
      <c r="CF21" s="321">
        <f t="shared" si="47"/>
        <v>322.71761810879997</v>
      </c>
      <c r="CG21" s="321">
        <f t="shared" si="47"/>
        <v>398.78522802648001</v>
      </c>
      <c r="CH21" s="321">
        <f t="shared" si="47"/>
        <v>444.12554130695997</v>
      </c>
      <c r="CI21" s="321">
        <f t="shared" si="47"/>
        <v>553.5773599787999</v>
      </c>
      <c r="CJ21" s="321">
        <f t="shared" si="47"/>
        <v>566.06268683735993</v>
      </c>
      <c r="CK21" s="321">
        <f t="shared" si="47"/>
        <v>109.15132162661943</v>
      </c>
      <c r="CL21" s="377">
        <f t="shared" si="47"/>
        <v>0</v>
      </c>
      <c r="CM21" s="321">
        <f t="shared" si="47"/>
        <v>6.5666771020799999</v>
      </c>
      <c r="CN21" s="321">
        <f t="shared" si="47"/>
        <v>9.4611992457599996</v>
      </c>
      <c r="CO21" s="363">
        <f t="shared" si="47"/>
        <v>8.1668942283931205</v>
      </c>
      <c r="CP21" s="371">
        <f t="shared" si="47"/>
        <v>33.589417413599996</v>
      </c>
      <c r="CQ21" s="377">
        <f t="shared" si="47"/>
        <v>27.980200714643999</v>
      </c>
      <c r="CR21" s="377">
        <f t="shared" si="47"/>
        <v>27.980200714643999</v>
      </c>
      <c r="CS21" s="378">
        <f t="shared" si="47"/>
        <v>27.980200714643999</v>
      </c>
      <c r="CT21" s="366">
        <f t="shared" si="47"/>
        <v>12.599401272297118</v>
      </c>
      <c r="CU21" s="321">
        <f t="shared" si="47"/>
        <v>9.1752895808812802</v>
      </c>
      <c r="CV21" s="321">
        <f t="shared" si="47"/>
        <v>5.5946360836800002</v>
      </c>
      <c r="CW21" s="321">
        <f t="shared" si="47"/>
        <v>2.70011394</v>
      </c>
      <c r="CX21" s="531">
        <f t="shared" si="34"/>
        <v>2000</v>
      </c>
      <c r="CY21" s="359"/>
      <c r="CZ21" s="321">
        <f t="shared" ref="CZ21:DE21" si="48">CZ20+(CZ20*$C$8)</f>
        <v>12.463725947039999</v>
      </c>
      <c r="DA21" s="321">
        <f t="shared" si="48"/>
        <v>3.6721549583999997</v>
      </c>
      <c r="DB21" s="321">
        <f t="shared" si="48"/>
        <v>9.5260019803200002</v>
      </c>
      <c r="DC21" s="321">
        <f t="shared" si="48"/>
        <v>2.8081184976000002</v>
      </c>
      <c r="DD21" s="321">
        <f t="shared" si="48"/>
        <v>9.5260019803200002</v>
      </c>
      <c r="DE21" s="321">
        <f t="shared" si="48"/>
        <v>2.8081184976000002</v>
      </c>
      <c r="DF21" s="321">
        <f t="shared" ref="DF21" si="49">DF20+(DF20*$C$8)</f>
        <v>13.532971067279998</v>
      </c>
      <c r="DG21" s="321">
        <f t="shared" ref="DG21:DH21" si="50">DG20+(DG20*$C$8)</f>
        <v>6.8150875845599996</v>
      </c>
      <c r="DH21" s="321">
        <f t="shared" si="50"/>
        <v>132.97521131712</v>
      </c>
      <c r="DI21" s="321">
        <f t="shared" ref="DI21:DJ21" si="51">DI20+(DI20*$C$8)</f>
        <v>8.1668942283931205</v>
      </c>
      <c r="DJ21" s="321">
        <f t="shared" si="51"/>
        <v>5.6071214105385598</v>
      </c>
      <c r="DK21" s="321">
        <f t="shared" ref="DK21:DL21" si="52">DK20+(DK20*$C$8)</f>
        <v>8.1668942283931205</v>
      </c>
      <c r="DL21" s="321">
        <f t="shared" si="52"/>
        <v>5.6071214105385598</v>
      </c>
    </row>
    <row r="22" spans="1:116" s="86" customFormat="1" ht="15.75" thickBot="1" x14ac:dyDescent="0.3">
      <c r="A22" s="320" t="s">
        <v>242</v>
      </c>
      <c r="B22" s="321">
        <f>B21+(B21*$C$9)</f>
        <v>18.668522892021791</v>
      </c>
      <c r="C22" s="321">
        <f t="shared" ref="C22:BN22" si="53">C21+(C21*$C$9)</f>
        <v>21.533606795060464</v>
      </c>
      <c r="D22" s="321">
        <f t="shared" si="53"/>
        <v>18.668522892021791</v>
      </c>
      <c r="E22" s="321">
        <f t="shared" si="53"/>
        <v>17.463368551854732</v>
      </c>
      <c r="F22" s="321">
        <f t="shared" si="53"/>
        <v>21.806471928683195</v>
      </c>
      <c r="G22" s="321">
        <f t="shared" si="53"/>
        <v>5.7415371866449494</v>
      </c>
      <c r="H22" s="321">
        <f t="shared" si="53"/>
        <v>28.719055313792357</v>
      </c>
      <c r="I22" s="321">
        <f t="shared" si="53"/>
        <v>28.719055313792357</v>
      </c>
      <c r="J22" s="321">
        <f t="shared" si="53"/>
        <v>28.719055313792357</v>
      </c>
      <c r="K22" s="321">
        <f t="shared" si="53"/>
        <v>5.8893391340239276</v>
      </c>
      <c r="L22" s="321">
        <f t="shared" si="53"/>
        <v>459.43666873727204</v>
      </c>
      <c r="M22" s="321">
        <f t="shared" si="53"/>
        <v>17.463368551854732</v>
      </c>
      <c r="N22" s="377">
        <f t="shared" si="53"/>
        <v>17.463368551854732</v>
      </c>
      <c r="O22" s="321">
        <f t="shared" si="53"/>
        <v>18.475243422372362</v>
      </c>
      <c r="P22" s="321">
        <f t="shared" si="53"/>
        <v>17.05407085142064</v>
      </c>
      <c r="Q22" s="363">
        <f t="shared" si="53"/>
        <v>14.211725709517198</v>
      </c>
      <c r="R22" s="372">
        <f t="shared" si="53"/>
        <v>86.145796560809458</v>
      </c>
      <c r="S22" s="379">
        <f t="shared" si="53"/>
        <v>83.109507073199993</v>
      </c>
      <c r="T22" s="379">
        <f t="shared" si="53"/>
        <v>83.109507073199993</v>
      </c>
      <c r="U22" s="380">
        <f t="shared" si="53"/>
        <v>83.109507073199993</v>
      </c>
      <c r="V22" s="366">
        <f t="shared" si="53"/>
        <v>282.87018852223031</v>
      </c>
      <c r="W22" s="321">
        <f t="shared" si="53"/>
        <v>30.310768593258285</v>
      </c>
      <c r="X22" s="321">
        <f t="shared" si="53"/>
        <v>18.668522892021791</v>
      </c>
      <c r="Y22" s="321">
        <f t="shared" si="53"/>
        <v>6.855736482271098</v>
      </c>
      <c r="Z22" s="377">
        <f t="shared" si="53"/>
        <v>11369.380567613762</v>
      </c>
      <c r="AA22" s="377">
        <f t="shared" si="53"/>
        <v>56.846902838068793</v>
      </c>
      <c r="AB22" s="377">
        <f t="shared" si="53"/>
        <v>34.903998342574241</v>
      </c>
      <c r="AC22" s="377">
        <f t="shared" si="53"/>
        <v>11369.380567613762</v>
      </c>
      <c r="AD22" s="321">
        <f t="shared" si="53"/>
        <v>6.6851957737568899</v>
      </c>
      <c r="AE22" s="377">
        <f t="shared" si="53"/>
        <v>0</v>
      </c>
      <c r="AF22" s="321">
        <f t="shared" si="53"/>
        <v>174.58820799627691</v>
      </c>
      <c r="AG22" s="321">
        <f t="shared" si="53"/>
        <v>195.25774186819874</v>
      </c>
      <c r="AH22" s="321">
        <f t="shared" si="53"/>
        <v>254.29292910877243</v>
      </c>
      <c r="AI22" s="321">
        <f t="shared" si="53"/>
        <v>574.71886331259259</v>
      </c>
      <c r="AJ22" s="321">
        <f>AJ21</f>
        <v>5000</v>
      </c>
      <c r="AK22" s="321">
        <f t="shared" si="53"/>
        <v>6.2417899316199543</v>
      </c>
      <c r="AL22" s="321">
        <f t="shared" si="53"/>
        <v>11.812786409750696</v>
      </c>
      <c r="AM22" s="321">
        <f t="shared" si="53"/>
        <v>14.132140045543904</v>
      </c>
      <c r="AN22" s="321">
        <f t="shared" si="53"/>
        <v>5.3777170084813095</v>
      </c>
      <c r="AO22" s="321">
        <f t="shared" si="53"/>
        <v>13.97347845590736</v>
      </c>
      <c r="AP22" s="321">
        <f t="shared" si="53"/>
        <v>7.6682371859539202</v>
      </c>
      <c r="AQ22" s="321">
        <f t="shared" si="53"/>
        <v>13.97347845590736</v>
      </c>
      <c r="AR22" s="321">
        <f t="shared" si="53"/>
        <v>7.6682371859539202</v>
      </c>
      <c r="AS22" s="321">
        <f t="shared" si="53"/>
        <v>13.97347845590736</v>
      </c>
      <c r="AT22" s="321">
        <f t="shared" si="53"/>
        <v>7.6682371859539202</v>
      </c>
      <c r="AU22" s="321">
        <f t="shared" si="53"/>
        <v>3.7011433816598398</v>
      </c>
      <c r="AV22" s="321">
        <f t="shared" si="53"/>
        <v>6.6169794903512091</v>
      </c>
      <c r="AW22" s="321">
        <f t="shared" si="53"/>
        <v>6.855736482271098</v>
      </c>
      <c r="AX22" s="321">
        <f t="shared" si="53"/>
        <v>264.65644085291314</v>
      </c>
      <c r="AY22" s="321">
        <f t="shared" si="53"/>
        <v>276.42374974039336</v>
      </c>
      <c r="AZ22" s="321">
        <f t="shared" si="53"/>
        <v>373.57510669065283</v>
      </c>
      <c r="BA22" s="321">
        <f t="shared" si="53"/>
        <v>385.34241557813323</v>
      </c>
      <c r="BB22" s="321">
        <f t="shared" si="53"/>
        <v>430.20599129793703</v>
      </c>
      <c r="BC22" s="321">
        <f t="shared" si="53"/>
        <v>486.666335196707</v>
      </c>
      <c r="BD22" s="321">
        <f t="shared" si="53"/>
        <v>576.62087424766719</v>
      </c>
      <c r="BE22" s="321">
        <f t="shared" si="53"/>
        <v>361.39850010273864</v>
      </c>
      <c r="BF22" s="321">
        <f t="shared" si="53"/>
        <v>375.99678475155457</v>
      </c>
      <c r="BG22" s="321">
        <f t="shared" si="53"/>
        <v>449.22696498755494</v>
      </c>
      <c r="BH22" s="321">
        <f t="shared" si="53"/>
        <v>504.10696498742652</v>
      </c>
      <c r="BI22" s="321">
        <f t="shared" si="53"/>
        <v>590.24139216766821</v>
      </c>
      <c r="BJ22" s="321">
        <f t="shared" si="53"/>
        <v>696.32908224407242</v>
      </c>
      <c r="BK22" s="321">
        <f t="shared" si="53"/>
        <v>718.18103169502592</v>
      </c>
      <c r="BL22" s="321">
        <f t="shared" si="53"/>
        <v>7.7679685944417596</v>
      </c>
      <c r="BM22" s="321">
        <f t="shared" si="53"/>
        <v>358.5334161996999</v>
      </c>
      <c r="BN22" s="321">
        <f t="shared" si="53"/>
        <v>370.30072508718024</v>
      </c>
      <c r="BO22" s="321">
        <f t="shared" ref="BO22:CW22" si="54">BO21+(BO21*$C$9)</f>
        <v>467.44071265687217</v>
      </c>
      <c r="BP22" s="321">
        <f t="shared" si="54"/>
        <v>479.20802154435233</v>
      </c>
      <c r="BQ22" s="321">
        <f t="shared" si="54"/>
        <v>524.0829666447238</v>
      </c>
      <c r="BR22" s="321">
        <f t="shared" si="54"/>
        <v>580.53194116292616</v>
      </c>
      <c r="BS22" s="321">
        <f t="shared" si="54"/>
        <v>640.25529728460128</v>
      </c>
      <c r="BT22" s="321">
        <f t="shared" si="54"/>
        <v>445.63424072818896</v>
      </c>
      <c r="BU22" s="321">
        <f t="shared" si="54"/>
        <v>460.23252537700495</v>
      </c>
      <c r="BV22" s="321">
        <f t="shared" si="54"/>
        <v>533.4740749935728</v>
      </c>
      <c r="BW22" s="321">
        <f t="shared" si="54"/>
        <v>588.35407499344444</v>
      </c>
      <c r="BX22" s="321">
        <f t="shared" si="54"/>
        <v>674.47713279311881</v>
      </c>
      <c r="BY22" s="321">
        <f t="shared" si="54"/>
        <v>842.39151439620616</v>
      </c>
      <c r="BZ22" s="321">
        <f t="shared" si="54"/>
        <v>864.24346384716</v>
      </c>
      <c r="CA22" s="321">
        <f t="shared" si="54"/>
        <v>305.50662523234928</v>
      </c>
      <c r="CB22" s="321">
        <f t="shared" si="54"/>
        <v>429.28507147196029</v>
      </c>
      <c r="CC22" s="321">
        <f t="shared" si="54"/>
        <v>480.99350186924255</v>
      </c>
      <c r="CD22" s="321">
        <f t="shared" si="54"/>
        <v>584.96903585162067</v>
      </c>
      <c r="CE22" s="321">
        <f t="shared" si="54"/>
        <v>694.31898462473248</v>
      </c>
      <c r="CF22" s="321">
        <f t="shared" si="54"/>
        <v>331.10827617962877</v>
      </c>
      <c r="CG22" s="321">
        <f t="shared" si="54"/>
        <v>409.15364395516849</v>
      </c>
      <c r="CH22" s="321">
        <f t="shared" si="54"/>
        <v>455.67280538094093</v>
      </c>
      <c r="CI22" s="321">
        <f t="shared" si="54"/>
        <v>567.9703713382487</v>
      </c>
      <c r="CJ22" s="321">
        <f t="shared" si="54"/>
        <v>580.78031669513132</v>
      </c>
      <c r="CK22" s="321">
        <f t="shared" si="54"/>
        <v>111.98925598891154</v>
      </c>
      <c r="CL22" s="377">
        <f t="shared" si="54"/>
        <v>0</v>
      </c>
      <c r="CM22" s="321">
        <f t="shared" si="54"/>
        <v>6.7374107067340798</v>
      </c>
      <c r="CN22" s="321">
        <f t="shared" si="54"/>
        <v>9.7071904261497597</v>
      </c>
      <c r="CO22" s="363">
        <f t="shared" si="54"/>
        <v>8.3792334783313418</v>
      </c>
      <c r="CP22" s="372">
        <f t="shared" si="54"/>
        <v>34.462742266353594</v>
      </c>
      <c r="CQ22" s="379">
        <f t="shared" si="54"/>
        <v>28.707685933224742</v>
      </c>
      <c r="CR22" s="379">
        <f t="shared" si="54"/>
        <v>28.707685933224742</v>
      </c>
      <c r="CS22" s="380">
        <f t="shared" si="54"/>
        <v>28.707685933224742</v>
      </c>
      <c r="CT22" s="366">
        <f t="shared" si="54"/>
        <v>12.926985705376843</v>
      </c>
      <c r="CU22" s="321">
        <f t="shared" si="54"/>
        <v>9.4138471099841929</v>
      </c>
      <c r="CV22" s="321">
        <f t="shared" si="54"/>
        <v>5.7400966218556801</v>
      </c>
      <c r="CW22" s="321">
        <f t="shared" si="54"/>
        <v>2.7703169024399998</v>
      </c>
      <c r="CX22" s="531">
        <f t="shared" si="34"/>
        <v>2000</v>
      </c>
      <c r="CY22" s="359"/>
      <c r="CZ22" s="321">
        <f t="shared" ref="CZ22:DE22" si="55">CZ21+(CZ21*$C$9)</f>
        <v>12.787782821663038</v>
      </c>
      <c r="DA22" s="321">
        <f t="shared" si="55"/>
        <v>3.7676309873183995</v>
      </c>
      <c r="DB22" s="321">
        <f t="shared" si="55"/>
        <v>9.7736780318083198</v>
      </c>
      <c r="DC22" s="321">
        <f t="shared" si="55"/>
        <v>2.8811295785376001</v>
      </c>
      <c r="DD22" s="321">
        <f t="shared" si="55"/>
        <v>9.7736780318083198</v>
      </c>
      <c r="DE22" s="321">
        <f t="shared" si="55"/>
        <v>2.8811295785376001</v>
      </c>
      <c r="DF22" s="321">
        <f t="shared" ref="DF22" si="56">DF21+(DF21*$C$9)</f>
        <v>13.884828315029278</v>
      </c>
      <c r="DG22" s="321">
        <f t="shared" ref="DG22:DH22" si="57">DG21+(DG21*$C$9)</f>
        <v>6.9922798617585595</v>
      </c>
      <c r="DH22" s="321">
        <f t="shared" si="57"/>
        <v>136.43256681136512</v>
      </c>
      <c r="DI22" s="321">
        <f t="shared" ref="DI22:DJ22" si="58">DI21+(DI21*$C$9)</f>
        <v>8.3792334783313418</v>
      </c>
      <c r="DJ22" s="321">
        <f t="shared" si="58"/>
        <v>5.7529065672125625</v>
      </c>
      <c r="DK22" s="321">
        <f t="shared" ref="DK22:DL22" si="59">DK21+(DK21*$C$9)</f>
        <v>8.3792334783313418</v>
      </c>
      <c r="DL22" s="321">
        <f t="shared" si="59"/>
        <v>5.7529065672125625</v>
      </c>
    </row>
    <row r="23" spans="1:116" x14ac:dyDescent="0.25">
      <c r="A23" s="135"/>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row>
    <row r="24" spans="1:116" x14ac:dyDescent="0.25">
      <c r="A24" s="86"/>
    </row>
  </sheetData>
  <customSheetViews>
    <customSheetView guid="{B6305DA3-A032-4F38-BA31-37F5B3FAC8B9}" scale="90" fitToPage="1" hiddenRows="1">
      <pane xSplit="1" ySplit="10" topLeftCell="DB11" activePane="bottomRight" state="frozen"/>
      <selection pane="bottomRight" activeCell="DE11" sqref="DE11"/>
      <pageMargins left="0.7" right="0.7" top="0.75" bottom="0.75" header="0.3" footer="0.3"/>
    </customSheetView>
    <customSheetView guid="{BE213145-94B6-4D67-83E8-F1C2631C8B17}" scale="90" fitToPage="1" hiddenRows="1">
      <pane xSplit="1" ySplit="10" topLeftCell="CT11" activePane="bottomRight" state="frozen"/>
      <selection pane="bottomRight" activeCell="CT8" sqref="CT8"/>
      <pageMargins left="0.7" right="0.7" top="0.75" bottom="0.75" header="0.3" footer="0.3"/>
    </customSheetView>
  </customSheetViews>
  <mergeCells count="2">
    <mergeCell ref="CP10:CS10"/>
    <mergeCell ref="R10:U10"/>
  </mergeCells>
  <phoneticPr fontId="21" type="noConversion"/>
  <pageMargins left="0.7" right="0.7" top="0.75" bottom="0.75" header="0.3" footer="0.3"/>
  <pageSetup paperSize="5" scale="55" fitToWidth="10" orientation="landscape" verticalDpi="0" r:id="rId1"/>
  <legacy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CX126"/>
  <sheetViews>
    <sheetView zoomScaleNormal="100" workbookViewId="0">
      <selection activeCell="K90" sqref="K90"/>
    </sheetView>
  </sheetViews>
  <sheetFormatPr defaultColWidth="22" defaultRowHeight="15" x14ac:dyDescent="0.25"/>
  <cols>
    <col min="1" max="1" width="34.42578125" style="407" customWidth="1"/>
    <col min="2" max="2" width="11.85546875" style="407" customWidth="1"/>
    <col min="3" max="3" width="18.85546875" style="407" bestFit="1" customWidth="1"/>
    <col min="4" max="4" width="11.7109375" style="407" customWidth="1"/>
    <col min="5" max="5" width="12.5703125" style="407" customWidth="1"/>
    <col min="6" max="6" width="13.28515625" style="407" customWidth="1"/>
    <col min="7" max="7" width="13.42578125" style="407" customWidth="1"/>
    <col min="8" max="8" width="12.85546875" style="407" customWidth="1"/>
    <col min="9" max="9" width="13.28515625" style="407" customWidth="1"/>
    <col min="10" max="16384" width="22" style="407"/>
  </cols>
  <sheetData>
    <row r="1" spans="1:102" x14ac:dyDescent="0.25">
      <c r="A1" s="269" t="s">
        <v>199</v>
      </c>
      <c r="B1" s="270"/>
      <c r="C1" s="270"/>
      <c r="D1" s="132"/>
    </row>
    <row r="2" spans="1:102" x14ac:dyDescent="0.25">
      <c r="A2" s="131"/>
      <c r="B2" s="131"/>
      <c r="C2" s="131"/>
      <c r="D2" s="132"/>
    </row>
    <row r="3" spans="1:102" x14ac:dyDescent="0.25">
      <c r="A3" s="131" t="s">
        <v>17</v>
      </c>
      <c r="B3" s="131" t="s">
        <v>18</v>
      </c>
      <c r="C3" s="136">
        <v>2.3E-2</v>
      </c>
      <c r="D3" s="132"/>
    </row>
    <row r="4" spans="1:102" x14ac:dyDescent="0.25">
      <c r="A4" s="131"/>
      <c r="B4" s="131" t="s">
        <v>44</v>
      </c>
      <c r="C4" s="136">
        <v>2.1999999999999999E-2</v>
      </c>
      <c r="D4" s="132"/>
    </row>
    <row r="5" spans="1:102" x14ac:dyDescent="0.25">
      <c r="A5" s="131" t="s">
        <v>258</v>
      </c>
      <c r="B5" s="131" t="s">
        <v>243</v>
      </c>
      <c r="C5" s="136">
        <v>2.5999999999999999E-2</v>
      </c>
      <c r="D5" s="171" t="s">
        <v>270</v>
      </c>
    </row>
    <row r="6" spans="1:102" x14ac:dyDescent="0.25">
      <c r="A6" s="131" t="s">
        <v>259</v>
      </c>
      <c r="B6" s="131" t="s">
        <v>244</v>
      </c>
      <c r="C6" s="136">
        <v>2.5999999999999999E-2</v>
      </c>
      <c r="D6" s="171" t="s">
        <v>270</v>
      </c>
    </row>
    <row r="7" spans="1:102" x14ac:dyDescent="0.25">
      <c r="A7" s="131" t="s">
        <v>260</v>
      </c>
      <c r="B7" s="131" t="s">
        <v>245</v>
      </c>
      <c r="C7" s="136">
        <v>2.5999999999999999E-2</v>
      </c>
      <c r="D7" s="171" t="s">
        <v>270</v>
      </c>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row>
    <row r="8" spans="1:102" x14ac:dyDescent="0.25">
      <c r="A8" s="131" t="s">
        <v>261</v>
      </c>
      <c r="B8" s="131" t="s">
        <v>246</v>
      </c>
      <c r="C8" s="136">
        <v>2.5999999999999999E-2</v>
      </c>
      <c r="D8" s="171" t="s">
        <v>270</v>
      </c>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425"/>
      <c r="CX8" s="425"/>
    </row>
    <row r="9" spans="1:102" x14ac:dyDescent="0.25">
      <c r="A9" s="131" t="s">
        <v>262</v>
      </c>
      <c r="B9" s="131" t="s">
        <v>247</v>
      </c>
      <c r="C9" s="136">
        <v>2.5999999999999999E-2</v>
      </c>
      <c r="D9" s="171" t="s">
        <v>270</v>
      </c>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c r="CN9" s="425"/>
      <c r="CO9" s="425"/>
      <c r="CP9" s="425"/>
      <c r="CQ9" s="425"/>
      <c r="CR9" s="425"/>
      <c r="CS9" s="425"/>
      <c r="CT9" s="425"/>
      <c r="CU9" s="425"/>
      <c r="CV9" s="425"/>
      <c r="CW9" s="425"/>
      <c r="CX9" s="425"/>
    </row>
    <row r="10" spans="1:102" s="86" customFormat="1" x14ac:dyDescent="0.25">
      <c r="Q10" s="613"/>
      <c r="R10" s="738"/>
      <c r="S10" s="738"/>
      <c r="T10" s="738"/>
      <c r="U10" s="738"/>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738"/>
      <c r="CQ10" s="738"/>
      <c r="CR10" s="738"/>
      <c r="CS10" s="738"/>
      <c r="CT10" s="613"/>
      <c r="CU10" s="613"/>
      <c r="CV10" s="613"/>
      <c r="CW10" s="613"/>
      <c r="CX10" s="613"/>
    </row>
    <row r="11" spans="1:102" s="264" customFormat="1" ht="30" x14ac:dyDescent="0.25">
      <c r="A11" s="51" t="s">
        <v>148</v>
      </c>
      <c r="B11" s="34" t="s">
        <v>150</v>
      </c>
      <c r="C11" s="34" t="s">
        <v>151</v>
      </c>
      <c r="D11" s="617" t="s">
        <v>503</v>
      </c>
      <c r="E11" s="616" t="s">
        <v>238</v>
      </c>
      <c r="F11" s="616" t="s">
        <v>239</v>
      </c>
      <c r="G11" s="616" t="s">
        <v>240</v>
      </c>
      <c r="H11" s="616" t="s">
        <v>241</v>
      </c>
      <c r="I11" s="616" t="s">
        <v>242</v>
      </c>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c r="CU11" s="614"/>
      <c r="CV11" s="614"/>
      <c r="CW11" s="614"/>
      <c r="CX11" s="614"/>
    </row>
    <row r="12" spans="1:102" ht="30" x14ac:dyDescent="0.25">
      <c r="A12" s="266" t="s">
        <v>91</v>
      </c>
      <c r="B12" s="130" t="s">
        <v>184</v>
      </c>
      <c r="C12" s="130" t="s">
        <v>152</v>
      </c>
      <c r="D12" s="618">
        <v>16.420000000000002</v>
      </c>
      <c r="E12" s="615">
        <f t="shared" ref="E12:E24" si="0">D12+(D12*$C$5)</f>
        <v>16.846920000000001</v>
      </c>
      <c r="F12" s="321">
        <f t="shared" ref="F12:F45" si="1">E12+(E12*$C$6)</f>
        <v>17.284939919999999</v>
      </c>
      <c r="G12" s="321">
        <f t="shared" ref="G12:G45" si="2">F12+(F12*$C$7)</f>
        <v>17.734348357919998</v>
      </c>
      <c r="H12" s="321">
        <f t="shared" ref="H12:H45" si="3">G12+(G12*$C$8)</f>
        <v>18.195441415225918</v>
      </c>
      <c r="I12" s="321">
        <f t="shared" ref="I12:I45" si="4">H12+(H12*$C$9)</f>
        <v>18.668522892021791</v>
      </c>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row>
    <row r="13" spans="1:102" ht="30" x14ac:dyDescent="0.25">
      <c r="A13" s="265" t="s">
        <v>84</v>
      </c>
      <c r="B13" s="79" t="s">
        <v>184</v>
      </c>
      <c r="C13" s="79" t="s">
        <v>152</v>
      </c>
      <c r="D13" s="618">
        <v>18.940000000000001</v>
      </c>
      <c r="E13" s="319">
        <f t="shared" si="0"/>
        <v>19.43244</v>
      </c>
      <c r="F13" s="321">
        <f t="shared" si="1"/>
        <v>19.937683440000001</v>
      </c>
      <c r="G13" s="321">
        <f t="shared" si="2"/>
        <v>20.45606320944</v>
      </c>
      <c r="H13" s="321">
        <f t="shared" si="3"/>
        <v>20.987920852885441</v>
      </c>
      <c r="I13" s="321">
        <f t="shared" si="4"/>
        <v>21.533606795060464</v>
      </c>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425"/>
      <c r="CX13" s="425"/>
    </row>
    <row r="14" spans="1:102" s="86" customFormat="1" ht="30" x14ac:dyDescent="0.25">
      <c r="A14" s="265" t="s">
        <v>90</v>
      </c>
      <c r="B14" s="79" t="s">
        <v>184</v>
      </c>
      <c r="C14" s="79" t="s">
        <v>152</v>
      </c>
      <c r="D14" s="618">
        <v>16.420000000000002</v>
      </c>
      <c r="E14" s="319">
        <f t="shared" si="0"/>
        <v>16.846920000000001</v>
      </c>
      <c r="F14" s="321">
        <f t="shared" si="1"/>
        <v>17.284939919999999</v>
      </c>
      <c r="G14" s="321">
        <f t="shared" si="2"/>
        <v>17.734348357919998</v>
      </c>
      <c r="H14" s="321">
        <f t="shared" si="3"/>
        <v>18.195441415225918</v>
      </c>
      <c r="I14" s="321">
        <f t="shared" si="4"/>
        <v>18.668522892021791</v>
      </c>
      <c r="Q14" s="613"/>
      <c r="R14" s="613"/>
      <c r="S14" s="613"/>
      <c r="T14" s="613"/>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c r="CU14" s="613"/>
      <c r="CV14" s="613"/>
      <c r="CW14" s="613"/>
      <c r="CX14" s="613"/>
    </row>
    <row r="15" spans="1:102" s="86" customFormat="1" ht="30" x14ac:dyDescent="0.25">
      <c r="A15" s="265" t="s">
        <v>88</v>
      </c>
      <c r="B15" s="79" t="s">
        <v>184</v>
      </c>
      <c r="C15" s="79" t="s">
        <v>152</v>
      </c>
      <c r="D15" s="618">
        <v>15.36</v>
      </c>
      <c r="E15" s="319">
        <f t="shared" si="0"/>
        <v>15.759359999999999</v>
      </c>
      <c r="F15" s="321">
        <f t="shared" si="1"/>
        <v>16.169103359999998</v>
      </c>
      <c r="G15" s="321">
        <f t="shared" si="2"/>
        <v>16.589500047359998</v>
      </c>
      <c r="H15" s="321">
        <f t="shared" si="3"/>
        <v>17.020827048591357</v>
      </c>
      <c r="I15" s="321">
        <f t="shared" si="4"/>
        <v>17.463368551854732</v>
      </c>
      <c r="Q15" s="613"/>
      <c r="R15" s="613"/>
      <c r="S15" s="613"/>
      <c r="T15" s="613"/>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c r="CU15" s="613"/>
      <c r="CV15" s="613"/>
      <c r="CW15" s="613"/>
      <c r="CX15" s="613"/>
    </row>
    <row r="16" spans="1:102" s="86" customFormat="1" x14ac:dyDescent="0.25">
      <c r="A16" s="265" t="s">
        <v>89</v>
      </c>
      <c r="B16" s="79" t="s">
        <v>184</v>
      </c>
      <c r="C16" s="79" t="s">
        <v>152</v>
      </c>
      <c r="D16" s="618">
        <v>19.18</v>
      </c>
      <c r="E16" s="319">
        <f t="shared" si="0"/>
        <v>19.67868</v>
      </c>
      <c r="F16" s="321">
        <f t="shared" si="1"/>
        <v>20.190325680000001</v>
      </c>
      <c r="G16" s="321">
        <f t="shared" si="2"/>
        <v>20.715274147680002</v>
      </c>
      <c r="H16" s="321">
        <f t="shared" si="3"/>
        <v>21.253871275519682</v>
      </c>
      <c r="I16" s="321">
        <f t="shared" si="4"/>
        <v>21.806471928683195</v>
      </c>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c r="CU16" s="613"/>
      <c r="CV16" s="613"/>
      <c r="CW16" s="613"/>
      <c r="CX16" s="613"/>
    </row>
    <row r="17" spans="1:102" s="86" customFormat="1" x14ac:dyDescent="0.25">
      <c r="A17" s="265" t="s">
        <v>149</v>
      </c>
      <c r="B17" s="79"/>
      <c r="C17" s="79" t="s">
        <v>152</v>
      </c>
      <c r="D17" s="618">
        <v>5.05</v>
      </c>
      <c r="E17" s="319">
        <f t="shared" si="0"/>
        <v>5.1813000000000002</v>
      </c>
      <c r="F17" s="321">
        <f t="shared" si="1"/>
        <v>5.3160138000000003</v>
      </c>
      <c r="G17" s="321">
        <f t="shared" si="2"/>
        <v>5.4542301588000006</v>
      </c>
      <c r="H17" s="321">
        <f t="shared" si="3"/>
        <v>5.5960401429288007</v>
      </c>
      <c r="I17" s="321">
        <f t="shared" si="4"/>
        <v>5.7415371866449494</v>
      </c>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c r="CU17" s="613"/>
      <c r="CV17" s="613"/>
      <c r="CW17" s="613"/>
      <c r="CX17" s="613"/>
    </row>
    <row r="18" spans="1:102" s="86" customFormat="1" x14ac:dyDescent="0.25">
      <c r="A18" s="265" t="s">
        <v>193</v>
      </c>
      <c r="B18" s="79" t="s">
        <v>184</v>
      </c>
      <c r="C18" s="79" t="s">
        <v>152</v>
      </c>
      <c r="D18" s="618">
        <v>25.26</v>
      </c>
      <c r="E18" s="615">
        <f t="shared" si="0"/>
        <v>25.91676</v>
      </c>
      <c r="F18" s="321">
        <f t="shared" si="1"/>
        <v>26.590595759999999</v>
      </c>
      <c r="G18" s="321">
        <f t="shared" si="2"/>
        <v>27.281951249759999</v>
      </c>
      <c r="H18" s="321">
        <f t="shared" si="3"/>
        <v>27.99128198225376</v>
      </c>
      <c r="I18" s="321">
        <f t="shared" si="4"/>
        <v>28.719055313792357</v>
      </c>
    </row>
    <row r="19" spans="1:102" s="86" customFormat="1" x14ac:dyDescent="0.25">
      <c r="A19" s="265" t="s">
        <v>194</v>
      </c>
      <c r="B19" s="79" t="s">
        <v>184</v>
      </c>
      <c r="C19" s="79" t="s">
        <v>152</v>
      </c>
      <c r="D19" s="618">
        <v>25.26</v>
      </c>
      <c r="E19" s="615">
        <f t="shared" si="0"/>
        <v>25.91676</v>
      </c>
      <c r="F19" s="321">
        <f t="shared" si="1"/>
        <v>26.590595759999999</v>
      </c>
      <c r="G19" s="321">
        <f t="shared" si="2"/>
        <v>27.281951249759999</v>
      </c>
      <c r="H19" s="321">
        <f t="shared" si="3"/>
        <v>27.99128198225376</v>
      </c>
      <c r="I19" s="321">
        <f t="shared" si="4"/>
        <v>28.719055313792357</v>
      </c>
    </row>
    <row r="20" spans="1:102" x14ac:dyDescent="0.25">
      <c r="A20" s="265" t="s">
        <v>195</v>
      </c>
      <c r="B20" s="79" t="s">
        <v>184</v>
      </c>
      <c r="C20" s="79" t="s">
        <v>152</v>
      </c>
      <c r="D20" s="618">
        <v>25.26</v>
      </c>
      <c r="E20" s="615">
        <f t="shared" si="0"/>
        <v>25.91676</v>
      </c>
      <c r="F20" s="321">
        <f t="shared" si="1"/>
        <v>26.590595759999999</v>
      </c>
      <c r="G20" s="321">
        <f t="shared" si="2"/>
        <v>27.281951249759999</v>
      </c>
      <c r="H20" s="321">
        <f t="shared" si="3"/>
        <v>27.99128198225376</v>
      </c>
      <c r="I20" s="321">
        <f t="shared" si="4"/>
        <v>28.719055313792357</v>
      </c>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row>
    <row r="21" spans="1:102" x14ac:dyDescent="0.25">
      <c r="A21" s="265" t="s">
        <v>190</v>
      </c>
      <c r="B21" s="79" t="s">
        <v>184</v>
      </c>
      <c r="C21" s="79" t="s">
        <v>152</v>
      </c>
      <c r="D21" s="618">
        <v>5.18</v>
      </c>
      <c r="E21" s="319">
        <f t="shared" si="0"/>
        <v>5.3146800000000001</v>
      </c>
      <c r="F21" s="321">
        <f t="shared" si="1"/>
        <v>5.4528616799999998</v>
      </c>
      <c r="G21" s="321">
        <f t="shared" si="2"/>
        <v>5.5946360836800002</v>
      </c>
      <c r="H21" s="321">
        <f t="shared" si="3"/>
        <v>5.7400966218556801</v>
      </c>
      <c r="I21" s="321">
        <f t="shared" si="4"/>
        <v>5.8893391340239276</v>
      </c>
    </row>
    <row r="22" spans="1:102" x14ac:dyDescent="0.25">
      <c r="A22" s="265" t="s">
        <v>191</v>
      </c>
      <c r="B22" s="79" t="s">
        <v>184</v>
      </c>
      <c r="C22" s="79" t="s">
        <v>183</v>
      </c>
      <c r="D22" s="618">
        <v>404.1</v>
      </c>
      <c r="E22" s="319">
        <f t="shared" si="0"/>
        <v>414.60660000000001</v>
      </c>
      <c r="F22" s="321">
        <f t="shared" si="1"/>
        <v>425.38637160000002</v>
      </c>
      <c r="G22" s="321">
        <f t="shared" si="2"/>
        <v>436.4464172616</v>
      </c>
      <c r="H22" s="321">
        <f t="shared" si="3"/>
        <v>447.79402411040161</v>
      </c>
      <c r="I22" s="321">
        <f t="shared" si="4"/>
        <v>459.43666873727204</v>
      </c>
    </row>
    <row r="23" spans="1:102" x14ac:dyDescent="0.25">
      <c r="A23" s="265" t="s">
        <v>1037</v>
      </c>
      <c r="B23" s="79" t="s">
        <v>184</v>
      </c>
      <c r="C23" s="79" t="s">
        <v>152</v>
      </c>
      <c r="D23" s="618">
        <v>15.36</v>
      </c>
      <c r="E23" s="319">
        <f t="shared" si="0"/>
        <v>15.759359999999999</v>
      </c>
      <c r="F23" s="321">
        <f t="shared" si="1"/>
        <v>16.169103359999998</v>
      </c>
      <c r="G23" s="321">
        <f t="shared" si="2"/>
        <v>16.589500047359998</v>
      </c>
      <c r="H23" s="321">
        <f t="shared" si="3"/>
        <v>17.020827048591357</v>
      </c>
      <c r="I23" s="321">
        <f t="shared" si="4"/>
        <v>17.463368551854732</v>
      </c>
    </row>
    <row r="24" spans="1:102" ht="43.5" customHeight="1" x14ac:dyDescent="0.25">
      <c r="A24" s="265" t="s">
        <v>200</v>
      </c>
      <c r="B24" s="291" t="s">
        <v>184</v>
      </c>
      <c r="C24" s="291" t="s">
        <v>152</v>
      </c>
      <c r="D24" s="185">
        <v>15.36</v>
      </c>
      <c r="E24" s="375">
        <f t="shared" si="0"/>
        <v>15.759359999999999</v>
      </c>
      <c r="F24" s="377">
        <f t="shared" si="1"/>
        <v>16.169103359999998</v>
      </c>
      <c r="G24" s="377">
        <f t="shared" si="2"/>
        <v>16.589500047359998</v>
      </c>
      <c r="H24" s="377">
        <f t="shared" si="3"/>
        <v>17.020827048591357</v>
      </c>
      <c r="I24" s="377">
        <f t="shared" si="4"/>
        <v>17.463368551854732</v>
      </c>
    </row>
    <row r="25" spans="1:102" x14ac:dyDescent="0.25">
      <c r="A25" s="265" t="s">
        <v>215</v>
      </c>
      <c r="B25" s="79" t="s">
        <v>184</v>
      </c>
      <c r="C25" s="79" t="s">
        <v>184</v>
      </c>
      <c r="D25" s="618">
        <v>16.25</v>
      </c>
      <c r="E25" s="319">
        <f>66.69/4</f>
        <v>16.672499999999999</v>
      </c>
      <c r="F25" s="321">
        <f t="shared" si="1"/>
        <v>17.105985</v>
      </c>
      <c r="G25" s="321">
        <f t="shared" si="2"/>
        <v>17.550740610000002</v>
      </c>
      <c r="H25" s="321">
        <f t="shared" si="3"/>
        <v>18.007059865860001</v>
      </c>
      <c r="I25" s="321">
        <f t="shared" si="4"/>
        <v>18.475243422372362</v>
      </c>
    </row>
    <row r="26" spans="1:102" x14ac:dyDescent="0.25">
      <c r="A26" s="265" t="s">
        <v>216</v>
      </c>
      <c r="B26" s="79" t="s">
        <v>184</v>
      </c>
      <c r="C26" s="79" t="s">
        <v>152</v>
      </c>
      <c r="D26" s="618">
        <v>15</v>
      </c>
      <c r="E26" s="319">
        <f>D26+(D26*$C$5)</f>
        <v>15.39</v>
      </c>
      <c r="F26" s="321">
        <f t="shared" si="1"/>
        <v>15.790140000000001</v>
      </c>
      <c r="G26" s="321">
        <f t="shared" si="2"/>
        <v>16.200683640000001</v>
      </c>
      <c r="H26" s="321">
        <f t="shared" si="3"/>
        <v>16.62190141464</v>
      </c>
      <c r="I26" s="321">
        <f t="shared" si="4"/>
        <v>17.05407085142064</v>
      </c>
    </row>
    <row r="27" spans="1:102" x14ac:dyDescent="0.25">
      <c r="A27" s="265" t="s">
        <v>217</v>
      </c>
      <c r="B27" s="79" t="s">
        <v>184</v>
      </c>
      <c r="C27" s="79" t="s">
        <v>152</v>
      </c>
      <c r="D27" s="618">
        <v>12.5</v>
      </c>
      <c r="E27" s="319">
        <f>D27+(D27*$C$5)</f>
        <v>12.824999999999999</v>
      </c>
      <c r="F27" s="321">
        <f t="shared" si="1"/>
        <v>13.158449999999998</v>
      </c>
      <c r="G27" s="321">
        <f t="shared" si="2"/>
        <v>13.500569699999998</v>
      </c>
      <c r="H27" s="321">
        <f t="shared" si="3"/>
        <v>13.851584512199999</v>
      </c>
      <c r="I27" s="321">
        <f t="shared" si="4"/>
        <v>14.211725709517198</v>
      </c>
    </row>
    <row r="28" spans="1:102" x14ac:dyDescent="0.25">
      <c r="A28" s="265" t="s">
        <v>92</v>
      </c>
      <c r="B28" s="79" t="s">
        <v>202</v>
      </c>
      <c r="C28" s="79" t="s">
        <v>41</v>
      </c>
      <c r="D28" s="618">
        <v>75.77</v>
      </c>
      <c r="E28" s="319">
        <f>D28+(D28*$C$5)</f>
        <v>77.740020000000001</v>
      </c>
      <c r="F28" s="321">
        <f t="shared" si="1"/>
        <v>79.761260520000008</v>
      </c>
      <c r="G28" s="321">
        <f t="shared" si="2"/>
        <v>81.835053293520005</v>
      </c>
      <c r="H28" s="321">
        <f t="shared" si="3"/>
        <v>83.962764679151519</v>
      </c>
      <c r="I28" s="321">
        <f t="shared" si="4"/>
        <v>86.145796560809458</v>
      </c>
    </row>
    <row r="29" spans="1:102" x14ac:dyDescent="0.25">
      <c r="A29" s="265" t="s">
        <v>93</v>
      </c>
      <c r="B29" s="291" t="s">
        <v>202</v>
      </c>
      <c r="C29" s="291" t="s">
        <v>41</v>
      </c>
      <c r="D29" s="185">
        <v>75.77</v>
      </c>
      <c r="E29" s="375">
        <v>75</v>
      </c>
      <c r="F29" s="377">
        <f t="shared" si="1"/>
        <v>76.95</v>
      </c>
      <c r="G29" s="377">
        <f t="shared" si="2"/>
        <v>78.950699999999998</v>
      </c>
      <c r="H29" s="377">
        <f t="shared" si="3"/>
        <v>81.003418199999999</v>
      </c>
      <c r="I29" s="377">
        <f t="shared" si="4"/>
        <v>83.109507073199993</v>
      </c>
    </row>
    <row r="30" spans="1:102" x14ac:dyDescent="0.25">
      <c r="A30" s="265" t="s">
        <v>94</v>
      </c>
      <c r="B30" s="291" t="s">
        <v>202</v>
      </c>
      <c r="C30" s="291" t="s">
        <v>41</v>
      </c>
      <c r="D30" s="185">
        <v>75.77</v>
      </c>
      <c r="E30" s="375">
        <v>75</v>
      </c>
      <c r="F30" s="377">
        <f t="shared" si="1"/>
        <v>76.95</v>
      </c>
      <c r="G30" s="377">
        <f t="shared" si="2"/>
        <v>78.950699999999998</v>
      </c>
      <c r="H30" s="377">
        <f t="shared" si="3"/>
        <v>81.003418199999999</v>
      </c>
      <c r="I30" s="377">
        <f t="shared" si="4"/>
        <v>83.109507073199993</v>
      </c>
    </row>
    <row r="31" spans="1:102" x14ac:dyDescent="0.25">
      <c r="A31" s="265" t="s">
        <v>95</v>
      </c>
      <c r="B31" s="291" t="s">
        <v>202</v>
      </c>
      <c r="C31" s="291" t="s">
        <v>41</v>
      </c>
      <c r="D31" s="185">
        <v>75.77</v>
      </c>
      <c r="E31" s="375">
        <v>75</v>
      </c>
      <c r="F31" s="377">
        <f t="shared" si="1"/>
        <v>76.95</v>
      </c>
      <c r="G31" s="377">
        <f t="shared" si="2"/>
        <v>78.950699999999998</v>
      </c>
      <c r="H31" s="377">
        <f t="shared" si="3"/>
        <v>81.003418199999999</v>
      </c>
      <c r="I31" s="377">
        <f t="shared" si="4"/>
        <v>83.109507073199993</v>
      </c>
    </row>
    <row r="32" spans="1:102" x14ac:dyDescent="0.25">
      <c r="A32" s="265" t="s">
        <v>214</v>
      </c>
      <c r="B32" s="79" t="s">
        <v>131</v>
      </c>
      <c r="C32" s="79" t="s">
        <v>153</v>
      </c>
      <c r="D32" s="618">
        <v>248.8</v>
      </c>
      <c r="E32" s="319">
        <f t="shared" ref="E32:E43" si="5">D32+(D32*$C$5)</f>
        <v>255.2688</v>
      </c>
      <c r="F32" s="321">
        <f t="shared" si="1"/>
        <v>261.90578879999998</v>
      </c>
      <c r="G32" s="321">
        <f t="shared" si="2"/>
        <v>268.71533930879997</v>
      </c>
      <c r="H32" s="321">
        <f t="shared" si="3"/>
        <v>275.70193813082875</v>
      </c>
      <c r="I32" s="321">
        <f t="shared" si="4"/>
        <v>282.87018852223031</v>
      </c>
    </row>
    <row r="33" spans="1:9" x14ac:dyDescent="0.25">
      <c r="A33" s="265" t="s">
        <v>213</v>
      </c>
      <c r="B33" s="79" t="s">
        <v>129</v>
      </c>
      <c r="C33" s="79" t="s">
        <v>152</v>
      </c>
      <c r="D33" s="618">
        <v>26.66</v>
      </c>
      <c r="E33" s="319">
        <f t="shared" si="5"/>
        <v>27.353159999999999</v>
      </c>
      <c r="F33" s="321">
        <f t="shared" si="1"/>
        <v>28.064342159999999</v>
      </c>
      <c r="G33" s="321">
        <f t="shared" si="2"/>
        <v>28.794015056159999</v>
      </c>
      <c r="H33" s="321">
        <f t="shared" si="3"/>
        <v>29.54265944762016</v>
      </c>
      <c r="I33" s="321">
        <f t="shared" si="4"/>
        <v>30.310768593258285</v>
      </c>
    </row>
    <row r="34" spans="1:9" ht="30" x14ac:dyDescent="0.25">
      <c r="A34" s="265" t="s">
        <v>212</v>
      </c>
      <c r="B34" s="79" t="s">
        <v>129</v>
      </c>
      <c r="C34" s="79" t="s">
        <v>152</v>
      </c>
      <c r="D34" s="618">
        <v>16.420000000000002</v>
      </c>
      <c r="E34" s="319">
        <f t="shared" si="5"/>
        <v>16.846920000000001</v>
      </c>
      <c r="F34" s="321">
        <f t="shared" si="1"/>
        <v>17.284939919999999</v>
      </c>
      <c r="G34" s="321">
        <f t="shared" si="2"/>
        <v>17.734348357919998</v>
      </c>
      <c r="H34" s="321">
        <f t="shared" si="3"/>
        <v>18.195441415225918</v>
      </c>
      <c r="I34" s="321">
        <f t="shared" si="4"/>
        <v>18.668522892021791</v>
      </c>
    </row>
    <row r="35" spans="1:9" ht="30" x14ac:dyDescent="0.25">
      <c r="A35" s="265" t="s">
        <v>218</v>
      </c>
      <c r="B35" s="79" t="s">
        <v>129</v>
      </c>
      <c r="C35" s="79" t="s">
        <v>152</v>
      </c>
      <c r="D35" s="618">
        <v>6.03</v>
      </c>
      <c r="E35" s="319">
        <f t="shared" si="5"/>
        <v>6.1867800000000006</v>
      </c>
      <c r="F35" s="321">
        <f t="shared" si="1"/>
        <v>6.3476362800000006</v>
      </c>
      <c r="G35" s="321">
        <f t="shared" si="2"/>
        <v>6.5126748232800002</v>
      </c>
      <c r="H35" s="321">
        <f t="shared" si="3"/>
        <v>6.6820043686852806</v>
      </c>
      <c r="I35" s="321">
        <f t="shared" si="4"/>
        <v>6.855736482271098</v>
      </c>
    </row>
    <row r="36" spans="1:9" x14ac:dyDescent="0.25">
      <c r="A36" s="265" t="s">
        <v>219</v>
      </c>
      <c r="B36" s="291"/>
      <c r="C36" s="291"/>
      <c r="D36" s="185">
        <f>'DDS Rates for Amend'!Z17</f>
        <v>10000</v>
      </c>
      <c r="E36" s="375">
        <f t="shared" si="5"/>
        <v>10260</v>
      </c>
      <c r="F36" s="377">
        <f t="shared" si="1"/>
        <v>10526.76</v>
      </c>
      <c r="G36" s="377">
        <f t="shared" si="2"/>
        <v>10800.455760000001</v>
      </c>
      <c r="H36" s="377">
        <f t="shared" si="3"/>
        <v>11081.267609760002</v>
      </c>
      <c r="I36" s="377">
        <f t="shared" si="4"/>
        <v>11369.380567613762</v>
      </c>
    </row>
    <row r="37" spans="1:9" x14ac:dyDescent="0.25">
      <c r="A37" s="265" t="s">
        <v>132</v>
      </c>
      <c r="B37" s="291" t="s">
        <v>185</v>
      </c>
      <c r="C37" s="291" t="s">
        <v>153</v>
      </c>
      <c r="D37" s="185">
        <v>50</v>
      </c>
      <c r="E37" s="375">
        <f t="shared" si="5"/>
        <v>51.3</v>
      </c>
      <c r="F37" s="377">
        <f t="shared" si="1"/>
        <v>52.633799999999994</v>
      </c>
      <c r="G37" s="377">
        <f t="shared" si="2"/>
        <v>54.002278799999992</v>
      </c>
      <c r="H37" s="377">
        <f t="shared" si="3"/>
        <v>55.406338048799995</v>
      </c>
      <c r="I37" s="377">
        <f t="shared" si="4"/>
        <v>56.846902838068793</v>
      </c>
    </row>
    <row r="38" spans="1:9" x14ac:dyDescent="0.25">
      <c r="A38" s="265" t="s">
        <v>133</v>
      </c>
      <c r="B38" s="291" t="s">
        <v>134</v>
      </c>
      <c r="C38" s="291" t="s">
        <v>153</v>
      </c>
      <c r="D38" s="185">
        <v>30.7</v>
      </c>
      <c r="E38" s="375">
        <f t="shared" si="5"/>
        <v>31.498200000000001</v>
      </c>
      <c r="F38" s="377">
        <f t="shared" si="1"/>
        <v>32.3171532</v>
      </c>
      <c r="G38" s="377">
        <f t="shared" si="2"/>
        <v>33.157399183199999</v>
      </c>
      <c r="H38" s="377">
        <f t="shared" si="3"/>
        <v>34.0194915619632</v>
      </c>
      <c r="I38" s="377">
        <f t="shared" si="4"/>
        <v>34.903998342574241</v>
      </c>
    </row>
    <row r="39" spans="1:9" x14ac:dyDescent="0.25">
      <c r="A39" s="265" t="s">
        <v>220</v>
      </c>
      <c r="B39" s="291"/>
      <c r="C39" s="291"/>
      <c r="D39" s="185">
        <f>'DDS Rates for Amend'!AC17</f>
        <v>10000</v>
      </c>
      <c r="E39" s="375">
        <f t="shared" si="5"/>
        <v>10260</v>
      </c>
      <c r="F39" s="377">
        <f t="shared" si="1"/>
        <v>10526.76</v>
      </c>
      <c r="G39" s="377">
        <f t="shared" si="2"/>
        <v>10800.455760000001</v>
      </c>
      <c r="H39" s="377">
        <f t="shared" si="3"/>
        <v>11081.267609760002</v>
      </c>
      <c r="I39" s="377">
        <f t="shared" si="4"/>
        <v>11369.380567613762</v>
      </c>
    </row>
    <row r="40" spans="1:9" x14ac:dyDescent="0.25">
      <c r="A40" s="265" t="s">
        <v>221</v>
      </c>
      <c r="B40" s="79" t="s">
        <v>184</v>
      </c>
      <c r="C40" s="79" t="s">
        <v>152</v>
      </c>
      <c r="D40" s="618">
        <v>5.88</v>
      </c>
      <c r="E40" s="319">
        <f t="shared" si="5"/>
        <v>6.0328799999999996</v>
      </c>
      <c r="F40" s="321">
        <f t="shared" si="1"/>
        <v>6.1897348799999996</v>
      </c>
      <c r="G40" s="321">
        <f t="shared" si="2"/>
        <v>6.3506679868799996</v>
      </c>
      <c r="H40" s="321">
        <f t="shared" si="3"/>
        <v>6.5157853545388793</v>
      </c>
      <c r="I40" s="321">
        <f t="shared" si="4"/>
        <v>6.6851957737568899</v>
      </c>
    </row>
    <row r="41" spans="1:9" x14ac:dyDescent="0.25">
      <c r="A41" s="265" t="s">
        <v>85</v>
      </c>
      <c r="B41" s="291" t="s">
        <v>46</v>
      </c>
      <c r="C41" s="291" t="s">
        <v>47</v>
      </c>
      <c r="D41" s="618">
        <f>'DDS Rates for Amend'!AE17</f>
        <v>0</v>
      </c>
      <c r="E41" s="375">
        <f t="shared" si="5"/>
        <v>0</v>
      </c>
      <c r="F41" s="377">
        <f t="shared" si="1"/>
        <v>0</v>
      </c>
      <c r="G41" s="377">
        <f t="shared" si="2"/>
        <v>0</v>
      </c>
      <c r="H41" s="377">
        <f t="shared" si="3"/>
        <v>0</v>
      </c>
      <c r="I41" s="377">
        <f t="shared" si="4"/>
        <v>0</v>
      </c>
    </row>
    <row r="42" spans="1:9" x14ac:dyDescent="0.25">
      <c r="A42" s="265" t="s">
        <v>96</v>
      </c>
      <c r="B42" s="79" t="s">
        <v>184</v>
      </c>
      <c r="C42" s="79" t="s">
        <v>135</v>
      </c>
      <c r="D42" s="618">
        <v>153.56</v>
      </c>
      <c r="E42" s="319">
        <f t="shared" si="5"/>
        <v>157.55256</v>
      </c>
      <c r="F42" s="321">
        <f t="shared" si="1"/>
        <v>161.64892656000001</v>
      </c>
      <c r="G42" s="321">
        <f t="shared" si="2"/>
        <v>165.85179865056</v>
      </c>
      <c r="H42" s="321">
        <f t="shared" si="3"/>
        <v>170.16394541547456</v>
      </c>
      <c r="I42" s="321">
        <f t="shared" si="4"/>
        <v>174.58820799627691</v>
      </c>
    </row>
    <row r="43" spans="1:9" x14ac:dyDescent="0.25">
      <c r="A43" s="265" t="s">
        <v>97</v>
      </c>
      <c r="B43" s="79" t="s">
        <v>184</v>
      </c>
      <c r="C43" s="79" t="s">
        <v>135</v>
      </c>
      <c r="D43" s="618">
        <v>171.74</v>
      </c>
      <c r="E43" s="319">
        <f t="shared" si="5"/>
        <v>176.20524</v>
      </c>
      <c r="F43" s="321">
        <f t="shared" si="1"/>
        <v>180.78657624000002</v>
      </c>
      <c r="G43" s="321">
        <f t="shared" si="2"/>
        <v>185.48702722224002</v>
      </c>
      <c r="H43" s="321">
        <f t="shared" si="3"/>
        <v>190.30968993001827</v>
      </c>
      <c r="I43" s="321">
        <f t="shared" si="4"/>
        <v>195.25774186819874</v>
      </c>
    </row>
    <row r="44" spans="1:9" ht="30" x14ac:dyDescent="0.25">
      <c r="A44" s="265" t="s">
        <v>1040</v>
      </c>
      <c r="B44" s="79" t="s">
        <v>184</v>
      </c>
      <c r="C44" s="79" t="s">
        <v>135</v>
      </c>
      <c r="D44" s="618">
        <v>223.26</v>
      </c>
      <c r="E44" s="319">
        <v>229.48</v>
      </c>
      <c r="F44" s="321">
        <f t="shared" si="1"/>
        <v>235.44647999999998</v>
      </c>
      <c r="G44" s="321">
        <f t="shared" si="2"/>
        <v>241.56808847999997</v>
      </c>
      <c r="H44" s="321">
        <f t="shared" si="3"/>
        <v>247.84885878047996</v>
      </c>
      <c r="I44" s="321">
        <f t="shared" si="4"/>
        <v>254.29292910877243</v>
      </c>
    </row>
    <row r="45" spans="1:9" x14ac:dyDescent="0.25">
      <c r="A45" s="265" t="s">
        <v>1041</v>
      </c>
      <c r="B45" s="79" t="s">
        <v>184</v>
      </c>
      <c r="C45" s="79" t="s">
        <v>135</v>
      </c>
      <c r="D45" s="618">
        <v>505.12</v>
      </c>
      <c r="E45" s="319">
        <v>518.64</v>
      </c>
      <c r="F45" s="321">
        <f t="shared" si="1"/>
        <v>532.12464</v>
      </c>
      <c r="G45" s="321">
        <f t="shared" si="2"/>
        <v>545.95988064000005</v>
      </c>
      <c r="H45" s="321">
        <f t="shared" si="3"/>
        <v>560.15483753664</v>
      </c>
      <c r="I45" s="321">
        <f t="shared" si="4"/>
        <v>574.71886331259259</v>
      </c>
    </row>
    <row r="46" spans="1:9" x14ac:dyDescent="0.25">
      <c r="A46" s="265" t="s">
        <v>28</v>
      </c>
      <c r="B46" s="79" t="s">
        <v>136</v>
      </c>
      <c r="C46" s="79" t="s">
        <v>137</v>
      </c>
      <c r="D46" s="618">
        <v>5000</v>
      </c>
      <c r="E46" s="319">
        <f>D46</f>
        <v>5000</v>
      </c>
      <c r="F46" s="321">
        <f>E46</f>
        <v>5000</v>
      </c>
      <c r="G46" s="321">
        <f>F46</f>
        <v>5000</v>
      </c>
      <c r="H46" s="321">
        <f>G46</f>
        <v>5000</v>
      </c>
      <c r="I46" s="321">
        <f>H46</f>
        <v>5000</v>
      </c>
    </row>
    <row r="47" spans="1:9" x14ac:dyDescent="0.25">
      <c r="A47" s="265" t="s">
        <v>19</v>
      </c>
      <c r="B47" s="79" t="s">
        <v>138</v>
      </c>
      <c r="C47" s="79" t="s">
        <v>152</v>
      </c>
      <c r="D47" s="618">
        <v>5.49</v>
      </c>
      <c r="E47" s="319">
        <f>D47+(D47*$C$5)</f>
        <v>5.6327400000000001</v>
      </c>
      <c r="F47" s="321">
        <f t="shared" ref="F47:F78" si="6">E47+(E47*$C$6)</f>
        <v>5.7791912400000003</v>
      </c>
      <c r="G47" s="321">
        <f t="shared" ref="G47:G78" si="7">F47+(F47*$C$7)</f>
        <v>5.9294502122399999</v>
      </c>
      <c r="H47" s="321">
        <f t="shared" ref="H47:H78" si="8">G47+(G47*$C$8)</f>
        <v>6.0836159177582401</v>
      </c>
      <c r="I47" s="321">
        <f t="shared" ref="I47:I78" si="9">H47+(H47*$C$9)</f>
        <v>6.2417899316199543</v>
      </c>
    </row>
    <row r="48" spans="1:9" x14ac:dyDescent="0.25">
      <c r="A48" s="265" t="s">
        <v>20</v>
      </c>
      <c r="B48" s="79" t="s">
        <v>138</v>
      </c>
      <c r="C48" s="79" t="s">
        <v>152</v>
      </c>
      <c r="D48" s="618">
        <v>10.39</v>
      </c>
      <c r="E48" s="319">
        <f>D48+(D48*$C$5)</f>
        <v>10.66014</v>
      </c>
      <c r="F48" s="321">
        <f t="shared" si="6"/>
        <v>10.93730364</v>
      </c>
      <c r="G48" s="321">
        <f t="shared" si="7"/>
        <v>11.221673534639999</v>
      </c>
      <c r="H48" s="321">
        <f t="shared" si="8"/>
        <v>11.513437046540639</v>
      </c>
      <c r="I48" s="321">
        <f t="shared" si="9"/>
        <v>11.812786409750696</v>
      </c>
    </row>
    <row r="49" spans="1:9" x14ac:dyDescent="0.25">
      <c r="A49" s="265" t="s">
        <v>4</v>
      </c>
      <c r="B49" s="79" t="s">
        <v>7</v>
      </c>
      <c r="C49" s="79" t="s">
        <v>153</v>
      </c>
      <c r="D49" s="618">
        <f>'DDS Rates for Amend'!AM17</f>
        <v>12.43</v>
      </c>
      <c r="E49" s="319">
        <f>D49+(D49*$C$5)</f>
        <v>12.75318</v>
      </c>
      <c r="F49" s="321">
        <f t="shared" si="6"/>
        <v>13.084762680000001</v>
      </c>
      <c r="G49" s="321">
        <f t="shared" si="7"/>
        <v>13.424966509680001</v>
      </c>
      <c r="H49" s="321">
        <f t="shared" si="8"/>
        <v>13.774015638931681</v>
      </c>
      <c r="I49" s="321">
        <f t="shared" si="9"/>
        <v>14.132140045543904</v>
      </c>
    </row>
    <row r="50" spans="1:9" x14ac:dyDescent="0.25">
      <c r="A50" s="265" t="s">
        <v>86</v>
      </c>
      <c r="B50" s="79"/>
      <c r="C50" s="79" t="s">
        <v>152</v>
      </c>
      <c r="D50" s="618">
        <v>4.7300000000000004</v>
      </c>
      <c r="E50" s="319">
        <f>D50+(D50*$C$5)</f>
        <v>4.8529800000000005</v>
      </c>
      <c r="F50" s="321">
        <f t="shared" si="6"/>
        <v>4.9791574800000005</v>
      </c>
      <c r="G50" s="321">
        <f t="shared" si="7"/>
        <v>5.1086155744800008</v>
      </c>
      <c r="H50" s="321">
        <f t="shared" si="8"/>
        <v>5.2414395794164808</v>
      </c>
      <c r="I50" s="321">
        <f t="shared" si="9"/>
        <v>5.3777170084813095</v>
      </c>
    </row>
    <row r="51" spans="1:9" x14ac:dyDescent="0.25">
      <c r="A51" s="265" t="s">
        <v>102</v>
      </c>
      <c r="B51" s="79" t="s">
        <v>129</v>
      </c>
      <c r="C51" s="79" t="s">
        <v>152</v>
      </c>
      <c r="D51" s="618">
        <v>11.98</v>
      </c>
      <c r="E51" s="319">
        <v>12.61</v>
      </c>
      <c r="F51" s="321">
        <f t="shared" si="6"/>
        <v>12.937859999999999</v>
      </c>
      <c r="G51" s="321">
        <f t="shared" si="7"/>
        <v>13.274244359999999</v>
      </c>
      <c r="H51" s="321">
        <f t="shared" si="8"/>
        <v>13.619374713359999</v>
      </c>
      <c r="I51" s="321">
        <f t="shared" si="9"/>
        <v>13.97347845590736</v>
      </c>
    </row>
    <row r="52" spans="1:9" ht="30" x14ac:dyDescent="0.25">
      <c r="A52" s="265" t="s">
        <v>103</v>
      </c>
      <c r="B52" s="79" t="s">
        <v>129</v>
      </c>
      <c r="C52" s="79" t="s">
        <v>152</v>
      </c>
      <c r="D52" s="618">
        <v>7.21</v>
      </c>
      <c r="E52" s="319">
        <v>6.92</v>
      </c>
      <c r="F52" s="321">
        <f t="shared" si="6"/>
        <v>7.09992</v>
      </c>
      <c r="G52" s="321">
        <f t="shared" si="7"/>
        <v>7.2845179199999999</v>
      </c>
      <c r="H52" s="321">
        <f t="shared" si="8"/>
        <v>7.4739153859199998</v>
      </c>
      <c r="I52" s="321">
        <f t="shared" si="9"/>
        <v>7.6682371859539202</v>
      </c>
    </row>
    <row r="53" spans="1:9" x14ac:dyDescent="0.25">
      <c r="A53" s="265" t="s">
        <v>104</v>
      </c>
      <c r="B53" s="79" t="s">
        <v>184</v>
      </c>
      <c r="C53" s="79" t="s">
        <v>152</v>
      </c>
      <c r="D53" s="618">
        <v>11.98</v>
      </c>
      <c r="E53" s="319">
        <v>12.61</v>
      </c>
      <c r="F53" s="321">
        <f t="shared" si="6"/>
        <v>12.937859999999999</v>
      </c>
      <c r="G53" s="321">
        <f t="shared" si="7"/>
        <v>13.274244359999999</v>
      </c>
      <c r="H53" s="321">
        <f t="shared" si="8"/>
        <v>13.619374713359999</v>
      </c>
      <c r="I53" s="321">
        <f t="shared" si="9"/>
        <v>13.97347845590736</v>
      </c>
    </row>
    <row r="54" spans="1:9" ht="30" x14ac:dyDescent="0.25">
      <c r="A54" s="265" t="s">
        <v>105</v>
      </c>
      <c r="B54" s="79" t="s">
        <v>184</v>
      </c>
      <c r="C54" s="79" t="s">
        <v>152</v>
      </c>
      <c r="D54" s="618">
        <v>7.21</v>
      </c>
      <c r="E54" s="319">
        <v>6.92</v>
      </c>
      <c r="F54" s="321">
        <f t="shared" si="6"/>
        <v>7.09992</v>
      </c>
      <c r="G54" s="321">
        <f t="shared" si="7"/>
        <v>7.2845179199999999</v>
      </c>
      <c r="H54" s="321">
        <f t="shared" si="8"/>
        <v>7.4739153859199998</v>
      </c>
      <c r="I54" s="321">
        <f t="shared" si="9"/>
        <v>7.6682371859539202</v>
      </c>
    </row>
    <row r="55" spans="1:9" x14ac:dyDescent="0.25">
      <c r="A55" s="265" t="s">
        <v>106</v>
      </c>
      <c r="B55" s="79" t="s">
        <v>184</v>
      </c>
      <c r="C55" s="79" t="s">
        <v>152</v>
      </c>
      <c r="D55" s="618">
        <v>11.98</v>
      </c>
      <c r="E55" s="319">
        <v>12.61</v>
      </c>
      <c r="F55" s="321">
        <f t="shared" si="6"/>
        <v>12.937859999999999</v>
      </c>
      <c r="G55" s="321">
        <f t="shared" si="7"/>
        <v>13.274244359999999</v>
      </c>
      <c r="H55" s="321">
        <f t="shared" si="8"/>
        <v>13.619374713359999</v>
      </c>
      <c r="I55" s="321">
        <f t="shared" si="9"/>
        <v>13.97347845590736</v>
      </c>
    </row>
    <row r="56" spans="1:9" x14ac:dyDescent="0.25">
      <c r="A56" s="265" t="s">
        <v>107</v>
      </c>
      <c r="B56" s="79" t="s">
        <v>184</v>
      </c>
      <c r="C56" s="79" t="s">
        <v>152</v>
      </c>
      <c r="D56" s="618">
        <v>7.21</v>
      </c>
      <c r="E56" s="319">
        <v>6.92</v>
      </c>
      <c r="F56" s="321">
        <f t="shared" si="6"/>
        <v>7.09992</v>
      </c>
      <c r="G56" s="321">
        <f t="shared" si="7"/>
        <v>7.2845179199999999</v>
      </c>
      <c r="H56" s="321">
        <f t="shared" si="8"/>
        <v>7.4739153859199998</v>
      </c>
      <c r="I56" s="321">
        <f t="shared" si="9"/>
        <v>7.6682371859539202</v>
      </c>
    </row>
    <row r="57" spans="1:9" ht="30" x14ac:dyDescent="0.25">
      <c r="A57" s="265" t="s">
        <v>542</v>
      </c>
      <c r="B57" s="79"/>
      <c r="C57" s="79"/>
      <c r="D57" s="618">
        <v>2.88</v>
      </c>
      <c r="E57" s="319">
        <v>3.34</v>
      </c>
      <c r="F57" s="321">
        <f t="shared" si="6"/>
        <v>3.4268399999999999</v>
      </c>
      <c r="G57" s="321">
        <f t="shared" si="7"/>
        <v>3.5159378399999999</v>
      </c>
      <c r="H57" s="321">
        <f t="shared" si="8"/>
        <v>3.60735222384</v>
      </c>
      <c r="I57" s="321">
        <f t="shared" si="9"/>
        <v>3.7011433816598398</v>
      </c>
    </row>
    <row r="58" spans="1:9" ht="30" x14ac:dyDescent="0.25">
      <c r="A58" s="265" t="s">
        <v>1050</v>
      </c>
      <c r="B58" s="79"/>
      <c r="C58" s="79"/>
      <c r="D58" s="618">
        <v>5.82</v>
      </c>
      <c r="E58" s="319">
        <f t="shared" ref="E58:E73" si="10">D58+(D58*$C$5)</f>
        <v>5.9713200000000004</v>
      </c>
      <c r="F58" s="321">
        <f t="shared" si="6"/>
        <v>6.1265743200000005</v>
      </c>
      <c r="G58" s="321">
        <f t="shared" si="7"/>
        <v>6.2858652523200007</v>
      </c>
      <c r="H58" s="321">
        <f t="shared" si="8"/>
        <v>6.4492977488803209</v>
      </c>
      <c r="I58" s="321">
        <f t="shared" si="9"/>
        <v>6.6169794903512091</v>
      </c>
    </row>
    <row r="59" spans="1:9" x14ac:dyDescent="0.25">
      <c r="A59" s="268" t="s">
        <v>120</v>
      </c>
      <c r="B59" s="79" t="s">
        <v>138</v>
      </c>
      <c r="C59" s="79" t="s">
        <v>152</v>
      </c>
      <c r="D59" s="618">
        <v>6.03</v>
      </c>
      <c r="E59" s="319">
        <f t="shared" si="10"/>
        <v>6.1867800000000006</v>
      </c>
      <c r="F59" s="321">
        <f t="shared" si="6"/>
        <v>6.3476362800000006</v>
      </c>
      <c r="G59" s="321">
        <f t="shared" si="7"/>
        <v>6.5126748232800002</v>
      </c>
      <c r="H59" s="321">
        <f t="shared" si="8"/>
        <v>6.6820043686852806</v>
      </c>
      <c r="I59" s="321">
        <f t="shared" si="9"/>
        <v>6.855736482271098</v>
      </c>
    </row>
    <row r="60" spans="1:9" x14ac:dyDescent="0.25">
      <c r="A60" s="265" t="s">
        <v>108</v>
      </c>
      <c r="B60" s="79" t="s">
        <v>138</v>
      </c>
      <c r="C60" s="79" t="s">
        <v>135</v>
      </c>
      <c r="D60" s="618">
        <v>232.78</v>
      </c>
      <c r="E60" s="319">
        <f t="shared" si="10"/>
        <v>238.83228</v>
      </c>
      <c r="F60" s="321">
        <f t="shared" si="6"/>
        <v>245.04191928</v>
      </c>
      <c r="G60" s="321">
        <f t="shared" si="7"/>
        <v>251.41300918127999</v>
      </c>
      <c r="H60" s="321">
        <f t="shared" si="8"/>
        <v>257.94974741999329</v>
      </c>
      <c r="I60" s="321">
        <f t="shared" si="9"/>
        <v>264.65644085291314</v>
      </c>
    </row>
    <row r="61" spans="1:9" x14ac:dyDescent="0.25">
      <c r="A61" s="265" t="s">
        <v>109</v>
      </c>
      <c r="B61" s="79" t="s">
        <v>138</v>
      </c>
      <c r="C61" s="79" t="s">
        <v>135</v>
      </c>
      <c r="D61" s="618">
        <v>243.13</v>
      </c>
      <c r="E61" s="319">
        <f t="shared" si="10"/>
        <v>249.45138</v>
      </c>
      <c r="F61" s="321">
        <f t="shared" si="6"/>
        <v>255.93711587999999</v>
      </c>
      <c r="G61" s="321">
        <f t="shared" si="7"/>
        <v>262.59148089287999</v>
      </c>
      <c r="H61" s="321">
        <f t="shared" si="8"/>
        <v>269.41885939609489</v>
      </c>
      <c r="I61" s="321">
        <f t="shared" si="9"/>
        <v>276.42374974039336</v>
      </c>
    </row>
    <row r="62" spans="1:9" x14ac:dyDescent="0.25">
      <c r="A62" s="265" t="s">
        <v>110</v>
      </c>
      <c r="B62" s="79" t="s">
        <v>138</v>
      </c>
      <c r="C62" s="79" t="s">
        <v>135</v>
      </c>
      <c r="D62" s="618">
        <v>328.58</v>
      </c>
      <c r="E62" s="319">
        <f t="shared" si="10"/>
        <v>337.12307999999996</v>
      </c>
      <c r="F62" s="321">
        <f t="shared" si="6"/>
        <v>345.88828007999996</v>
      </c>
      <c r="G62" s="321">
        <f t="shared" si="7"/>
        <v>354.88137536207995</v>
      </c>
      <c r="H62" s="321">
        <f t="shared" si="8"/>
        <v>364.10829112149401</v>
      </c>
      <c r="I62" s="321">
        <f t="shared" si="9"/>
        <v>373.57510669065283</v>
      </c>
    </row>
    <row r="63" spans="1:9" x14ac:dyDescent="0.25">
      <c r="A63" s="265" t="s">
        <v>111</v>
      </c>
      <c r="B63" s="79" t="s">
        <v>138</v>
      </c>
      <c r="C63" s="79" t="s">
        <v>135</v>
      </c>
      <c r="D63" s="618">
        <v>338.93</v>
      </c>
      <c r="E63" s="319">
        <f t="shared" si="10"/>
        <v>347.74218000000002</v>
      </c>
      <c r="F63" s="321">
        <f t="shared" si="6"/>
        <v>356.78347668000004</v>
      </c>
      <c r="G63" s="321">
        <f t="shared" si="7"/>
        <v>366.05984707368003</v>
      </c>
      <c r="H63" s="321">
        <f t="shared" si="8"/>
        <v>375.57740309759572</v>
      </c>
      <c r="I63" s="321">
        <f t="shared" si="9"/>
        <v>385.34241557813323</v>
      </c>
    </row>
    <row r="64" spans="1:9" x14ac:dyDescent="0.25">
      <c r="A64" s="265" t="s">
        <v>112</v>
      </c>
      <c r="B64" s="79" t="s">
        <v>138</v>
      </c>
      <c r="C64" s="79" t="s">
        <v>135</v>
      </c>
      <c r="D64" s="618">
        <v>378.39</v>
      </c>
      <c r="E64" s="319">
        <f t="shared" si="10"/>
        <v>388.22814</v>
      </c>
      <c r="F64" s="321">
        <f t="shared" si="6"/>
        <v>398.32207163999999</v>
      </c>
      <c r="G64" s="321">
        <f t="shared" si="7"/>
        <v>408.67844550263999</v>
      </c>
      <c r="H64" s="321">
        <f t="shared" si="8"/>
        <v>419.30408508570861</v>
      </c>
      <c r="I64" s="321">
        <f t="shared" si="9"/>
        <v>430.20599129793703</v>
      </c>
    </row>
    <row r="65" spans="1:9" x14ac:dyDescent="0.25">
      <c r="A65" s="265" t="s">
        <v>113</v>
      </c>
      <c r="B65" s="79" t="s">
        <v>138</v>
      </c>
      <c r="C65" s="79" t="s">
        <v>135</v>
      </c>
      <c r="D65" s="618">
        <v>428.05</v>
      </c>
      <c r="E65" s="319">
        <f t="shared" si="10"/>
        <v>439.17930000000001</v>
      </c>
      <c r="F65" s="321">
        <f t="shared" si="6"/>
        <v>450.59796180000001</v>
      </c>
      <c r="G65" s="321">
        <f t="shared" si="7"/>
        <v>462.31350880680003</v>
      </c>
      <c r="H65" s="321">
        <f t="shared" si="8"/>
        <v>474.3336600357768</v>
      </c>
      <c r="I65" s="321">
        <f t="shared" si="9"/>
        <v>486.666335196707</v>
      </c>
    </row>
    <row r="66" spans="1:9" x14ac:dyDescent="0.25">
      <c r="A66" s="265" t="s">
        <v>50</v>
      </c>
      <c r="B66" s="79" t="s">
        <v>138</v>
      </c>
      <c r="C66" s="79" t="s">
        <v>135</v>
      </c>
      <c r="D66" s="618">
        <v>507.17</v>
      </c>
      <c r="E66" s="319">
        <f t="shared" si="10"/>
        <v>520.35642000000007</v>
      </c>
      <c r="F66" s="321">
        <f t="shared" si="6"/>
        <v>533.88568692000013</v>
      </c>
      <c r="G66" s="321">
        <f t="shared" si="7"/>
        <v>547.76671477992011</v>
      </c>
      <c r="H66" s="321">
        <f t="shared" si="8"/>
        <v>562.00864936419805</v>
      </c>
      <c r="I66" s="321">
        <f t="shared" si="9"/>
        <v>576.62087424766719</v>
      </c>
    </row>
    <row r="67" spans="1:9" x14ac:dyDescent="0.25">
      <c r="A67" s="265" t="s">
        <v>114</v>
      </c>
      <c r="B67" s="79" t="s">
        <v>138</v>
      </c>
      <c r="C67" s="79" t="s">
        <v>135</v>
      </c>
      <c r="D67" s="618">
        <v>317.87</v>
      </c>
      <c r="E67" s="319">
        <f t="shared" si="10"/>
        <v>326.13461999999998</v>
      </c>
      <c r="F67" s="321">
        <f t="shared" si="6"/>
        <v>334.61412012</v>
      </c>
      <c r="G67" s="321">
        <f t="shared" si="7"/>
        <v>343.31408724312001</v>
      </c>
      <c r="H67" s="321">
        <f t="shared" si="8"/>
        <v>352.24025351144115</v>
      </c>
      <c r="I67" s="321">
        <f t="shared" si="9"/>
        <v>361.39850010273864</v>
      </c>
    </row>
    <row r="68" spans="1:9" x14ac:dyDescent="0.25">
      <c r="A68" s="265" t="s">
        <v>115</v>
      </c>
      <c r="B68" s="79" t="s">
        <v>138</v>
      </c>
      <c r="C68" s="79" t="s">
        <v>135</v>
      </c>
      <c r="D68" s="618">
        <v>330.71</v>
      </c>
      <c r="E68" s="319">
        <f t="shared" si="10"/>
        <v>339.30845999999997</v>
      </c>
      <c r="F68" s="321">
        <f t="shared" si="6"/>
        <v>348.13047995999995</v>
      </c>
      <c r="G68" s="321">
        <f t="shared" si="7"/>
        <v>357.18187243895994</v>
      </c>
      <c r="H68" s="321">
        <f t="shared" si="8"/>
        <v>366.46860112237289</v>
      </c>
      <c r="I68" s="321">
        <f t="shared" si="9"/>
        <v>375.99678475155457</v>
      </c>
    </row>
    <row r="69" spans="1:9" x14ac:dyDescent="0.25">
      <c r="A69" s="265" t="s">
        <v>116</v>
      </c>
      <c r="B69" s="79" t="s">
        <v>138</v>
      </c>
      <c r="C69" s="79" t="s">
        <v>135</v>
      </c>
      <c r="D69" s="618">
        <v>395.12</v>
      </c>
      <c r="E69" s="319">
        <f t="shared" si="10"/>
        <v>405.39312000000001</v>
      </c>
      <c r="F69" s="321">
        <f t="shared" si="6"/>
        <v>415.93334112000002</v>
      </c>
      <c r="G69" s="321">
        <f t="shared" si="7"/>
        <v>426.74760798912001</v>
      </c>
      <c r="H69" s="321">
        <f t="shared" si="8"/>
        <v>437.84304579683715</v>
      </c>
      <c r="I69" s="321">
        <f t="shared" si="9"/>
        <v>449.22696498755494</v>
      </c>
    </row>
    <row r="70" spans="1:9" x14ac:dyDescent="0.25">
      <c r="A70" s="265" t="s">
        <v>117</v>
      </c>
      <c r="B70" s="79" t="s">
        <v>138</v>
      </c>
      <c r="C70" s="79" t="s">
        <v>135</v>
      </c>
      <c r="D70" s="618">
        <v>443.39</v>
      </c>
      <c r="E70" s="319">
        <f t="shared" si="10"/>
        <v>454.91813999999999</v>
      </c>
      <c r="F70" s="321">
        <f t="shared" si="6"/>
        <v>466.74601164000001</v>
      </c>
      <c r="G70" s="321">
        <f t="shared" si="7"/>
        <v>478.88140794264001</v>
      </c>
      <c r="H70" s="321">
        <f t="shared" si="8"/>
        <v>491.33232454914867</v>
      </c>
      <c r="I70" s="321">
        <f t="shared" si="9"/>
        <v>504.10696498742652</v>
      </c>
    </row>
    <row r="71" spans="1:9" x14ac:dyDescent="0.25">
      <c r="A71" s="265" t="s">
        <v>118</v>
      </c>
      <c r="B71" s="79" t="s">
        <v>138</v>
      </c>
      <c r="C71" s="79" t="s">
        <v>135</v>
      </c>
      <c r="D71" s="618">
        <v>519.15</v>
      </c>
      <c r="E71" s="319">
        <f t="shared" si="10"/>
        <v>532.64789999999994</v>
      </c>
      <c r="F71" s="321">
        <f t="shared" si="6"/>
        <v>546.4967453999999</v>
      </c>
      <c r="G71" s="321">
        <f t="shared" si="7"/>
        <v>560.70566078039985</v>
      </c>
      <c r="H71" s="321">
        <f t="shared" si="8"/>
        <v>575.28400796069025</v>
      </c>
      <c r="I71" s="321">
        <f t="shared" si="9"/>
        <v>590.24139216766821</v>
      </c>
    </row>
    <row r="72" spans="1:9" ht="30" x14ac:dyDescent="0.25">
      <c r="A72" s="265" t="s">
        <v>45</v>
      </c>
      <c r="B72" s="79" t="s">
        <v>138</v>
      </c>
      <c r="C72" s="79" t="s">
        <v>135</v>
      </c>
      <c r="D72" s="618">
        <v>612.46</v>
      </c>
      <c r="E72" s="319">
        <f t="shared" si="10"/>
        <v>628.38396</v>
      </c>
      <c r="F72" s="321">
        <f t="shared" si="6"/>
        <v>644.72194295999998</v>
      </c>
      <c r="G72" s="321">
        <f t="shared" si="7"/>
        <v>661.48471347696</v>
      </c>
      <c r="H72" s="321">
        <f t="shared" si="8"/>
        <v>678.683316027361</v>
      </c>
      <c r="I72" s="321">
        <f t="shared" si="9"/>
        <v>696.32908224407242</v>
      </c>
    </row>
    <row r="73" spans="1:9" ht="30" x14ac:dyDescent="0.25">
      <c r="A73" s="265" t="s">
        <v>119</v>
      </c>
      <c r="B73" s="79" t="s">
        <v>138</v>
      </c>
      <c r="C73" s="79" t="s">
        <v>135</v>
      </c>
      <c r="D73" s="618">
        <v>631.67999999999995</v>
      </c>
      <c r="E73" s="319">
        <f t="shared" si="10"/>
        <v>648.10367999999994</v>
      </c>
      <c r="F73" s="321">
        <f t="shared" si="6"/>
        <v>664.95437567999988</v>
      </c>
      <c r="G73" s="321">
        <f t="shared" si="7"/>
        <v>682.24318944767992</v>
      </c>
      <c r="H73" s="321">
        <f t="shared" si="8"/>
        <v>699.98151237331956</v>
      </c>
      <c r="I73" s="321">
        <f t="shared" si="9"/>
        <v>718.18103169502592</v>
      </c>
    </row>
    <row r="74" spans="1:9" ht="30" x14ac:dyDescent="0.25">
      <c r="A74" s="268" t="s">
        <v>40</v>
      </c>
      <c r="B74" s="79" t="s">
        <v>138</v>
      </c>
      <c r="C74" s="79" t="s">
        <v>152</v>
      </c>
      <c r="D74" s="618">
        <v>6.82</v>
      </c>
      <c r="E74" s="319">
        <v>7.01</v>
      </c>
      <c r="F74" s="321">
        <f t="shared" si="6"/>
        <v>7.1922600000000001</v>
      </c>
      <c r="G74" s="321">
        <f t="shared" si="7"/>
        <v>7.3792587599999999</v>
      </c>
      <c r="H74" s="321">
        <f t="shared" si="8"/>
        <v>7.5711194877599999</v>
      </c>
      <c r="I74" s="321">
        <f t="shared" si="9"/>
        <v>7.7679685944417596</v>
      </c>
    </row>
    <row r="75" spans="1:9" ht="30" x14ac:dyDescent="0.25">
      <c r="A75" s="265" t="s">
        <v>29</v>
      </c>
      <c r="B75" s="79" t="s">
        <v>138</v>
      </c>
      <c r="C75" s="79" t="s">
        <v>135</v>
      </c>
      <c r="D75" s="618">
        <v>315.35000000000002</v>
      </c>
      <c r="E75" s="319">
        <f t="shared" ref="E75:E90" si="11">D75+(D75*$C$5)</f>
        <v>323.54910000000001</v>
      </c>
      <c r="F75" s="321">
        <f t="shared" si="6"/>
        <v>331.96137659999999</v>
      </c>
      <c r="G75" s="321">
        <f t="shared" si="7"/>
        <v>340.59237239160001</v>
      </c>
      <c r="H75" s="321">
        <f t="shared" si="8"/>
        <v>349.4477740737816</v>
      </c>
      <c r="I75" s="321">
        <f t="shared" si="9"/>
        <v>358.5334161996999</v>
      </c>
    </row>
    <row r="76" spans="1:9" ht="30" x14ac:dyDescent="0.25">
      <c r="A76" s="265" t="s">
        <v>30</v>
      </c>
      <c r="B76" s="79" t="s">
        <v>138</v>
      </c>
      <c r="C76" s="79" t="s">
        <v>135</v>
      </c>
      <c r="D76" s="618">
        <v>325.7</v>
      </c>
      <c r="E76" s="319">
        <f t="shared" si="11"/>
        <v>334.16820000000001</v>
      </c>
      <c r="F76" s="321">
        <f t="shared" si="6"/>
        <v>342.85657320000001</v>
      </c>
      <c r="G76" s="321">
        <f t="shared" si="7"/>
        <v>351.77084410320003</v>
      </c>
      <c r="H76" s="321">
        <f t="shared" si="8"/>
        <v>360.91688604988326</v>
      </c>
      <c r="I76" s="321">
        <f t="shared" si="9"/>
        <v>370.30072508718024</v>
      </c>
    </row>
    <row r="77" spans="1:9" ht="30" x14ac:dyDescent="0.25">
      <c r="A77" s="265" t="s">
        <v>31</v>
      </c>
      <c r="B77" s="79" t="s">
        <v>138</v>
      </c>
      <c r="C77" s="79" t="s">
        <v>135</v>
      </c>
      <c r="D77" s="618">
        <v>411.14</v>
      </c>
      <c r="E77" s="319">
        <f t="shared" si="11"/>
        <v>421.82963999999998</v>
      </c>
      <c r="F77" s="321">
        <f t="shared" si="6"/>
        <v>432.79721064</v>
      </c>
      <c r="G77" s="321">
        <f t="shared" si="7"/>
        <v>444.04993811664002</v>
      </c>
      <c r="H77" s="321">
        <f t="shared" si="8"/>
        <v>455.59523650767267</v>
      </c>
      <c r="I77" s="321">
        <f t="shared" si="9"/>
        <v>467.44071265687217</v>
      </c>
    </row>
    <row r="78" spans="1:9" ht="30" x14ac:dyDescent="0.25">
      <c r="A78" s="265" t="s">
        <v>32</v>
      </c>
      <c r="B78" s="79" t="s">
        <v>138</v>
      </c>
      <c r="C78" s="79" t="s">
        <v>135</v>
      </c>
      <c r="D78" s="618">
        <v>421.49</v>
      </c>
      <c r="E78" s="319">
        <f t="shared" si="11"/>
        <v>432.44873999999999</v>
      </c>
      <c r="F78" s="321">
        <f t="shared" si="6"/>
        <v>443.69240723999997</v>
      </c>
      <c r="G78" s="321">
        <f t="shared" si="7"/>
        <v>455.22840982823999</v>
      </c>
      <c r="H78" s="321">
        <f t="shared" si="8"/>
        <v>467.06434848377421</v>
      </c>
      <c r="I78" s="321">
        <f t="shared" si="9"/>
        <v>479.20802154435233</v>
      </c>
    </row>
    <row r="79" spans="1:9" ht="30" x14ac:dyDescent="0.25">
      <c r="A79" s="265" t="s">
        <v>33</v>
      </c>
      <c r="B79" s="79" t="s">
        <v>138</v>
      </c>
      <c r="C79" s="79" t="s">
        <v>135</v>
      </c>
      <c r="D79" s="618">
        <v>460.96</v>
      </c>
      <c r="E79" s="319">
        <f t="shared" si="11"/>
        <v>472.94495999999998</v>
      </c>
      <c r="F79" s="321">
        <f t="shared" ref="F79:F110" si="12">E79+(E79*$C$6)</f>
        <v>485.24152895999998</v>
      </c>
      <c r="G79" s="321">
        <f t="shared" ref="G79:G110" si="13">F79+(F79*$C$7)</f>
        <v>497.85780871295998</v>
      </c>
      <c r="H79" s="321">
        <f t="shared" ref="H79:H110" si="14">G79+(G79*$C$8)</f>
        <v>510.80211173949692</v>
      </c>
      <c r="I79" s="321">
        <f t="shared" ref="I79:I110" si="15">H79+(H79*$C$9)</f>
        <v>524.0829666447238</v>
      </c>
    </row>
    <row r="80" spans="1:9" ht="30" x14ac:dyDescent="0.25">
      <c r="A80" s="265" t="s">
        <v>34</v>
      </c>
      <c r="B80" s="79" t="s">
        <v>138</v>
      </c>
      <c r="C80" s="79" t="s">
        <v>135</v>
      </c>
      <c r="D80" s="618">
        <v>510.61</v>
      </c>
      <c r="E80" s="319">
        <f t="shared" si="11"/>
        <v>523.88585999999998</v>
      </c>
      <c r="F80" s="321">
        <f t="shared" si="12"/>
        <v>537.50689235999994</v>
      </c>
      <c r="G80" s="321">
        <f t="shared" si="13"/>
        <v>551.48207156135993</v>
      </c>
      <c r="H80" s="321">
        <f t="shared" si="14"/>
        <v>565.82060542195529</v>
      </c>
      <c r="I80" s="321">
        <f t="shared" si="15"/>
        <v>580.53194116292616</v>
      </c>
    </row>
    <row r="81" spans="1:9" ht="30" x14ac:dyDescent="0.25">
      <c r="A81" s="265" t="s">
        <v>51</v>
      </c>
      <c r="B81" s="79" t="s">
        <v>138</v>
      </c>
      <c r="C81" s="79" t="s">
        <v>135</v>
      </c>
      <c r="D81" s="618">
        <v>563.14</v>
      </c>
      <c r="E81" s="319">
        <f t="shared" si="11"/>
        <v>577.78164000000004</v>
      </c>
      <c r="F81" s="321">
        <f t="shared" si="12"/>
        <v>592.80396264000001</v>
      </c>
      <c r="G81" s="321">
        <f t="shared" si="13"/>
        <v>608.21686566864003</v>
      </c>
      <c r="H81" s="321">
        <f t="shared" si="14"/>
        <v>624.03050417602469</v>
      </c>
      <c r="I81" s="321">
        <f t="shared" si="15"/>
        <v>640.25529728460128</v>
      </c>
    </row>
    <row r="82" spans="1:9" ht="30" x14ac:dyDescent="0.25">
      <c r="A82" s="265" t="s">
        <v>35</v>
      </c>
      <c r="B82" s="79" t="s">
        <v>138</v>
      </c>
      <c r="C82" s="79" t="s">
        <v>135</v>
      </c>
      <c r="D82" s="618">
        <v>391.96</v>
      </c>
      <c r="E82" s="319">
        <f t="shared" si="11"/>
        <v>402.15096</v>
      </c>
      <c r="F82" s="321">
        <f t="shared" si="12"/>
        <v>412.60688496</v>
      </c>
      <c r="G82" s="321">
        <f t="shared" si="13"/>
        <v>423.33466396896</v>
      </c>
      <c r="H82" s="321">
        <f t="shared" si="14"/>
        <v>434.34136523215295</v>
      </c>
      <c r="I82" s="321">
        <f t="shared" si="15"/>
        <v>445.63424072818896</v>
      </c>
    </row>
    <row r="83" spans="1:9" ht="30" x14ac:dyDescent="0.25">
      <c r="A83" s="265" t="s">
        <v>36</v>
      </c>
      <c r="B83" s="79" t="s">
        <v>138</v>
      </c>
      <c r="C83" s="79" t="s">
        <v>135</v>
      </c>
      <c r="D83" s="618">
        <v>404.8</v>
      </c>
      <c r="E83" s="319">
        <f t="shared" si="11"/>
        <v>415.32479999999998</v>
      </c>
      <c r="F83" s="321">
        <f t="shared" si="12"/>
        <v>426.12324479999995</v>
      </c>
      <c r="G83" s="321">
        <f t="shared" si="13"/>
        <v>437.20244916479993</v>
      </c>
      <c r="H83" s="321">
        <f t="shared" si="14"/>
        <v>448.56971284308474</v>
      </c>
      <c r="I83" s="321">
        <f t="shared" si="15"/>
        <v>460.23252537700495</v>
      </c>
    </row>
    <row r="84" spans="1:9" ht="30" x14ac:dyDescent="0.25">
      <c r="A84" s="265" t="s">
        <v>37</v>
      </c>
      <c r="B84" s="79" t="s">
        <v>138</v>
      </c>
      <c r="C84" s="79" t="s">
        <v>135</v>
      </c>
      <c r="D84" s="618">
        <v>469.22</v>
      </c>
      <c r="E84" s="319">
        <f t="shared" si="11"/>
        <v>481.41972000000004</v>
      </c>
      <c r="F84" s="321">
        <f t="shared" si="12"/>
        <v>493.93663272000003</v>
      </c>
      <c r="G84" s="321">
        <f t="shared" si="13"/>
        <v>506.77898517072003</v>
      </c>
      <c r="H84" s="321">
        <f t="shared" si="14"/>
        <v>519.95523878515871</v>
      </c>
      <c r="I84" s="321">
        <f t="shared" si="15"/>
        <v>533.4740749935728</v>
      </c>
    </row>
    <row r="85" spans="1:9" ht="30" x14ac:dyDescent="0.25">
      <c r="A85" s="265" t="s">
        <v>38</v>
      </c>
      <c r="B85" s="79" t="s">
        <v>138</v>
      </c>
      <c r="C85" s="79" t="s">
        <v>135</v>
      </c>
      <c r="D85" s="618">
        <v>517.49</v>
      </c>
      <c r="E85" s="319">
        <f t="shared" si="11"/>
        <v>530.94474000000002</v>
      </c>
      <c r="F85" s="321">
        <f t="shared" si="12"/>
        <v>544.74930324000002</v>
      </c>
      <c r="G85" s="321">
        <f t="shared" si="13"/>
        <v>558.91278512424003</v>
      </c>
      <c r="H85" s="321">
        <f t="shared" si="14"/>
        <v>573.44451753747023</v>
      </c>
      <c r="I85" s="321">
        <f t="shared" si="15"/>
        <v>588.35407499344444</v>
      </c>
    </row>
    <row r="86" spans="1:9" ht="30" x14ac:dyDescent="0.25">
      <c r="A86" s="265" t="s">
        <v>39</v>
      </c>
      <c r="B86" s="79" t="s">
        <v>138</v>
      </c>
      <c r="C86" s="79" t="s">
        <v>135</v>
      </c>
      <c r="D86" s="618">
        <v>593.24</v>
      </c>
      <c r="E86" s="319">
        <f t="shared" si="11"/>
        <v>608.66424000000006</v>
      </c>
      <c r="F86" s="321">
        <f t="shared" si="12"/>
        <v>624.48951024000007</v>
      </c>
      <c r="G86" s="321">
        <f t="shared" si="13"/>
        <v>640.72623750624007</v>
      </c>
      <c r="H86" s="321">
        <f t="shared" si="14"/>
        <v>657.38511968140233</v>
      </c>
      <c r="I86" s="321">
        <f t="shared" si="15"/>
        <v>674.47713279311881</v>
      </c>
    </row>
    <row r="87" spans="1:9" ht="30" x14ac:dyDescent="0.25">
      <c r="A87" s="265" t="s">
        <v>43</v>
      </c>
      <c r="B87" s="79" t="s">
        <v>138</v>
      </c>
      <c r="C87" s="79" t="s">
        <v>135</v>
      </c>
      <c r="D87" s="618">
        <v>740.93</v>
      </c>
      <c r="E87" s="319">
        <f t="shared" si="11"/>
        <v>760.19417999999996</v>
      </c>
      <c r="F87" s="321">
        <f t="shared" si="12"/>
        <v>779.95922867999991</v>
      </c>
      <c r="G87" s="321">
        <f t="shared" si="13"/>
        <v>800.23816862567992</v>
      </c>
      <c r="H87" s="321">
        <f t="shared" si="14"/>
        <v>821.04436100994758</v>
      </c>
      <c r="I87" s="321">
        <f t="shared" si="15"/>
        <v>842.39151439620616</v>
      </c>
    </row>
    <row r="88" spans="1:9" ht="30" x14ac:dyDescent="0.25">
      <c r="A88" s="265" t="s">
        <v>42</v>
      </c>
      <c r="B88" s="79" t="s">
        <v>138</v>
      </c>
      <c r="C88" s="79" t="s">
        <v>135</v>
      </c>
      <c r="D88" s="618">
        <v>760.15</v>
      </c>
      <c r="E88" s="319">
        <f t="shared" si="11"/>
        <v>779.91390000000001</v>
      </c>
      <c r="F88" s="321">
        <f t="shared" si="12"/>
        <v>800.19166140000004</v>
      </c>
      <c r="G88" s="321">
        <f t="shared" si="13"/>
        <v>820.99664459640007</v>
      </c>
      <c r="H88" s="321">
        <f t="shared" si="14"/>
        <v>842.34255735590648</v>
      </c>
      <c r="I88" s="321">
        <f t="shared" si="15"/>
        <v>864.24346384716</v>
      </c>
    </row>
    <row r="89" spans="1:9" x14ac:dyDescent="0.25">
      <c r="A89" s="265" t="s">
        <v>121</v>
      </c>
      <c r="B89" s="79" t="s">
        <v>138</v>
      </c>
      <c r="C89" s="79" t="s">
        <v>135</v>
      </c>
      <c r="D89" s="618">
        <v>268.70999999999998</v>
      </c>
      <c r="E89" s="319">
        <f t="shared" si="11"/>
        <v>275.69646</v>
      </c>
      <c r="F89" s="321">
        <f t="shared" si="12"/>
        <v>282.86456795999999</v>
      </c>
      <c r="G89" s="321">
        <f t="shared" si="13"/>
        <v>290.21904672695996</v>
      </c>
      <c r="H89" s="321">
        <f t="shared" si="14"/>
        <v>297.7647419418609</v>
      </c>
      <c r="I89" s="321">
        <f t="shared" si="15"/>
        <v>305.50662523234928</v>
      </c>
    </row>
    <row r="90" spans="1:9" ht="30" x14ac:dyDescent="0.25">
      <c r="A90" s="265" t="s">
        <v>122</v>
      </c>
      <c r="B90" s="79" t="s">
        <v>138</v>
      </c>
      <c r="C90" s="79" t="s">
        <v>135</v>
      </c>
      <c r="D90" s="618">
        <v>377.58</v>
      </c>
      <c r="E90" s="319">
        <f t="shared" si="11"/>
        <v>387.39707999999996</v>
      </c>
      <c r="F90" s="321">
        <f t="shared" si="12"/>
        <v>397.46940407999995</v>
      </c>
      <c r="G90" s="321">
        <f t="shared" si="13"/>
        <v>407.80360858607992</v>
      </c>
      <c r="H90" s="321">
        <f t="shared" si="14"/>
        <v>418.40650240931802</v>
      </c>
      <c r="I90" s="321">
        <f t="shared" si="15"/>
        <v>429.28507147196029</v>
      </c>
    </row>
    <row r="91" spans="1:9" ht="30" x14ac:dyDescent="0.25">
      <c r="A91" s="265" t="s">
        <v>123</v>
      </c>
      <c r="B91" s="79" t="s">
        <v>138</v>
      </c>
      <c r="C91" s="79" t="s">
        <v>135</v>
      </c>
      <c r="D91" s="618">
        <f>'DDS Rates for Amend'!CC17</f>
        <v>423.06</v>
      </c>
      <c r="E91" s="319">
        <v>434.06</v>
      </c>
      <c r="F91" s="321">
        <f t="shared" si="12"/>
        <v>445.34555999999998</v>
      </c>
      <c r="G91" s="321">
        <f t="shared" si="13"/>
        <v>456.92454455999996</v>
      </c>
      <c r="H91" s="321">
        <f t="shared" si="14"/>
        <v>468.80458271855997</v>
      </c>
      <c r="I91" s="321">
        <f t="shared" si="15"/>
        <v>480.99350186924255</v>
      </c>
    </row>
    <row r="92" spans="1:9" ht="30" x14ac:dyDescent="0.25">
      <c r="A92" s="265" t="s">
        <v>124</v>
      </c>
      <c r="B92" s="79" t="s">
        <v>138</v>
      </c>
      <c r="C92" s="79" t="s">
        <v>135</v>
      </c>
      <c r="D92" s="618">
        <f>'DDS Rates for Amend'!CD17</f>
        <v>514.51</v>
      </c>
      <c r="E92" s="319">
        <v>527.89</v>
      </c>
      <c r="F92" s="321">
        <f t="shared" si="12"/>
        <v>541.61514</v>
      </c>
      <c r="G92" s="321">
        <f t="shared" si="13"/>
        <v>555.69713363999995</v>
      </c>
      <c r="H92" s="321">
        <f t="shared" si="14"/>
        <v>570.14525911464</v>
      </c>
      <c r="I92" s="321">
        <f t="shared" si="15"/>
        <v>584.96903585162067</v>
      </c>
    </row>
    <row r="93" spans="1:9" x14ac:dyDescent="0.25">
      <c r="A93" s="265" t="s">
        <v>48</v>
      </c>
      <c r="B93" s="79" t="s">
        <v>138</v>
      </c>
      <c r="C93" s="79" t="s">
        <v>135</v>
      </c>
      <c r="D93" s="618">
        <f>'DDS Rates for Amend'!CE17</f>
        <v>610.69000000000005</v>
      </c>
      <c r="E93" s="319">
        <v>626.57000000000005</v>
      </c>
      <c r="F93" s="321">
        <f t="shared" si="12"/>
        <v>642.8608200000001</v>
      </c>
      <c r="G93" s="321">
        <f t="shared" si="13"/>
        <v>659.57520132000013</v>
      </c>
      <c r="H93" s="321">
        <f t="shared" si="14"/>
        <v>676.72415655432019</v>
      </c>
      <c r="I93" s="321">
        <f t="shared" si="15"/>
        <v>694.31898462473248</v>
      </c>
    </row>
    <row r="94" spans="1:9" x14ac:dyDescent="0.25">
      <c r="A94" s="265" t="s">
        <v>125</v>
      </c>
      <c r="B94" s="79" t="s">
        <v>138</v>
      </c>
      <c r="C94" s="79" t="s">
        <v>135</v>
      </c>
      <c r="D94" s="618">
        <f>'DDS Rates for Amend'!CF17</f>
        <v>291.23</v>
      </c>
      <c r="E94" s="319">
        <v>298.8</v>
      </c>
      <c r="F94" s="321">
        <f t="shared" si="12"/>
        <v>306.56880000000001</v>
      </c>
      <c r="G94" s="321">
        <f t="shared" si="13"/>
        <v>314.53958879999999</v>
      </c>
      <c r="H94" s="321">
        <f t="shared" si="14"/>
        <v>322.71761810879997</v>
      </c>
      <c r="I94" s="321">
        <f t="shared" si="15"/>
        <v>331.10827617962877</v>
      </c>
    </row>
    <row r="95" spans="1:9" ht="30" x14ac:dyDescent="0.25">
      <c r="A95" s="265" t="s">
        <v>126</v>
      </c>
      <c r="B95" s="79" t="s">
        <v>138</v>
      </c>
      <c r="C95" s="79" t="s">
        <v>135</v>
      </c>
      <c r="D95" s="618">
        <f>'DDS Rates for Amend'!CG17</f>
        <v>359.87</v>
      </c>
      <c r="E95" s="319">
        <v>369.23</v>
      </c>
      <c r="F95" s="321">
        <f t="shared" si="12"/>
        <v>378.82998000000003</v>
      </c>
      <c r="G95" s="321">
        <f t="shared" si="13"/>
        <v>388.67955948000002</v>
      </c>
      <c r="H95" s="321">
        <f t="shared" si="14"/>
        <v>398.78522802648001</v>
      </c>
      <c r="I95" s="321">
        <f t="shared" si="15"/>
        <v>409.15364395516849</v>
      </c>
    </row>
    <row r="96" spans="1:9" ht="30" x14ac:dyDescent="0.25">
      <c r="A96" s="265" t="s">
        <v>127</v>
      </c>
      <c r="B96" s="79" t="s">
        <v>138</v>
      </c>
      <c r="C96" s="79" t="s">
        <v>135</v>
      </c>
      <c r="D96" s="618">
        <f>'DDS Rates for Amend'!CH17</f>
        <v>400.79</v>
      </c>
      <c r="E96" s="319">
        <v>411.21</v>
      </c>
      <c r="F96" s="321">
        <f t="shared" si="12"/>
        <v>421.90145999999999</v>
      </c>
      <c r="G96" s="321">
        <f t="shared" si="13"/>
        <v>432.87089795999998</v>
      </c>
      <c r="H96" s="321">
        <f t="shared" si="14"/>
        <v>444.12554130695997</v>
      </c>
      <c r="I96" s="321">
        <f t="shared" si="15"/>
        <v>455.67280538094093</v>
      </c>
    </row>
    <row r="97" spans="1:10" ht="30" x14ac:dyDescent="0.25">
      <c r="A97" s="265" t="s">
        <v>128</v>
      </c>
      <c r="B97" s="79" t="s">
        <v>138</v>
      </c>
      <c r="C97" s="79" t="s">
        <v>135</v>
      </c>
      <c r="D97" s="618">
        <f>'DDS Rates for Amend'!CI17</f>
        <v>499.56</v>
      </c>
      <c r="E97" s="319">
        <v>512.54999999999995</v>
      </c>
      <c r="F97" s="321">
        <f t="shared" si="12"/>
        <v>525.8762999999999</v>
      </c>
      <c r="G97" s="321">
        <f t="shared" si="13"/>
        <v>539.54908379999995</v>
      </c>
      <c r="H97" s="321">
        <f t="shared" si="14"/>
        <v>553.5773599787999</v>
      </c>
      <c r="I97" s="321">
        <f t="shared" si="15"/>
        <v>567.9703713382487</v>
      </c>
    </row>
    <row r="98" spans="1:10" x14ac:dyDescent="0.25">
      <c r="A98" s="265" t="s">
        <v>49</v>
      </c>
      <c r="B98" s="79" t="s">
        <v>138</v>
      </c>
      <c r="C98" s="79" t="s">
        <v>135</v>
      </c>
      <c r="D98" s="618">
        <f>'DDS Rates for Amend'!CJ17</f>
        <v>510.83</v>
      </c>
      <c r="E98" s="319">
        <v>524.11</v>
      </c>
      <c r="F98" s="321">
        <f t="shared" si="12"/>
        <v>537.73685999999998</v>
      </c>
      <c r="G98" s="321">
        <f t="shared" si="13"/>
        <v>551.71801835999997</v>
      </c>
      <c r="H98" s="321">
        <f t="shared" si="14"/>
        <v>566.06268683735993</v>
      </c>
      <c r="I98" s="321">
        <f t="shared" si="15"/>
        <v>580.78031669513132</v>
      </c>
    </row>
    <row r="99" spans="1:10" x14ac:dyDescent="0.25">
      <c r="A99" s="265" t="s">
        <v>139</v>
      </c>
      <c r="B99" s="79" t="s">
        <v>167</v>
      </c>
      <c r="C99" s="79"/>
      <c r="D99" s="619">
        <f>'Factor D Back Up'!G1234</f>
        <v>98.500754128961461</v>
      </c>
      <c r="E99" s="319">
        <f>D99+(D99*$C$5)</f>
        <v>101.06177373631446</v>
      </c>
      <c r="F99" s="321">
        <f t="shared" si="12"/>
        <v>103.68937985345865</v>
      </c>
      <c r="G99" s="321">
        <f t="shared" si="13"/>
        <v>106.38530372964857</v>
      </c>
      <c r="H99" s="321">
        <f t="shared" si="14"/>
        <v>109.15132162661943</v>
      </c>
      <c r="I99" s="321">
        <f t="shared" si="15"/>
        <v>111.98925598891154</v>
      </c>
    </row>
    <row r="100" spans="1:10" x14ac:dyDescent="0.25">
      <c r="A100" s="265" t="s">
        <v>87</v>
      </c>
      <c r="B100" s="291"/>
      <c r="C100" s="291"/>
      <c r="D100" s="618">
        <f>'DDS Rates for Amend'!CL17</f>
        <v>0</v>
      </c>
      <c r="E100" s="375">
        <f>D100+(D100*$C$5)</f>
        <v>0</v>
      </c>
      <c r="F100" s="377">
        <f t="shared" si="12"/>
        <v>0</v>
      </c>
      <c r="G100" s="377">
        <f t="shared" si="13"/>
        <v>0</v>
      </c>
      <c r="H100" s="377">
        <f t="shared" si="14"/>
        <v>0</v>
      </c>
      <c r="I100" s="377">
        <f t="shared" si="15"/>
        <v>0</v>
      </c>
    </row>
    <row r="101" spans="1:10" x14ac:dyDescent="0.25">
      <c r="A101" s="265" t="s">
        <v>1048</v>
      </c>
      <c r="B101" s="79"/>
      <c r="C101" s="79"/>
      <c r="D101" s="618">
        <v>5.36</v>
      </c>
      <c r="E101" s="319">
        <v>6.08</v>
      </c>
      <c r="F101" s="321">
        <f t="shared" si="12"/>
        <v>6.2380800000000001</v>
      </c>
      <c r="G101" s="321">
        <f t="shared" si="13"/>
        <v>6.4002700800000003</v>
      </c>
      <c r="H101" s="321">
        <f t="shared" si="14"/>
        <v>6.5666771020799999</v>
      </c>
      <c r="I101" s="321">
        <f t="shared" si="15"/>
        <v>6.7374107067340798</v>
      </c>
    </row>
    <row r="102" spans="1:10" x14ac:dyDescent="0.25">
      <c r="A102" s="265" t="s">
        <v>1049</v>
      </c>
      <c r="B102" s="79"/>
      <c r="C102" s="79"/>
      <c r="D102" s="618">
        <v>9.5</v>
      </c>
      <c r="E102" s="319">
        <v>8.76</v>
      </c>
      <c r="F102" s="321">
        <f t="shared" si="12"/>
        <v>8.9877599999999997</v>
      </c>
      <c r="G102" s="321">
        <f t="shared" si="13"/>
        <v>9.2214417599999994</v>
      </c>
      <c r="H102" s="321">
        <f t="shared" si="14"/>
        <v>9.4611992457599996</v>
      </c>
      <c r="I102" s="321">
        <f t="shared" si="15"/>
        <v>9.7071904261497597</v>
      </c>
    </row>
    <row r="103" spans="1:10" x14ac:dyDescent="0.25">
      <c r="A103" s="265" t="s">
        <v>5</v>
      </c>
      <c r="B103" s="79"/>
      <c r="C103" s="79" t="s">
        <v>153</v>
      </c>
      <c r="D103" s="618">
        <v>7.37</v>
      </c>
      <c r="E103" s="319">
        <f>D103+(D103*$C$5)</f>
        <v>7.5616200000000005</v>
      </c>
      <c r="F103" s="321">
        <f t="shared" si="12"/>
        <v>7.7582221200000001</v>
      </c>
      <c r="G103" s="321">
        <f t="shared" si="13"/>
        <v>7.9599358951200001</v>
      </c>
      <c r="H103" s="321">
        <f t="shared" si="14"/>
        <v>8.1668942283931205</v>
      </c>
      <c r="I103" s="321">
        <f t="shared" si="15"/>
        <v>8.3792334783313418</v>
      </c>
    </row>
    <row r="104" spans="1:10" x14ac:dyDescent="0.25">
      <c r="A104" s="265" t="s">
        <v>21</v>
      </c>
      <c r="B104" s="79" t="s">
        <v>202</v>
      </c>
      <c r="C104" s="79" t="s">
        <v>41</v>
      </c>
      <c r="D104" s="618">
        <v>25.25</v>
      </c>
      <c r="E104" s="319">
        <v>31.1</v>
      </c>
      <c r="F104" s="321">
        <f t="shared" si="12"/>
        <v>31.9086</v>
      </c>
      <c r="G104" s="321">
        <f t="shared" si="13"/>
        <v>32.738223599999998</v>
      </c>
      <c r="H104" s="321">
        <f t="shared" si="14"/>
        <v>33.589417413599996</v>
      </c>
      <c r="I104" s="321">
        <f t="shared" si="15"/>
        <v>34.462742266353594</v>
      </c>
      <c r="J104" s="620"/>
    </row>
    <row r="105" spans="1:10" ht="30" x14ac:dyDescent="0.25">
      <c r="A105" s="265" t="s">
        <v>22</v>
      </c>
      <c r="B105" s="291" t="s">
        <v>202</v>
      </c>
      <c r="C105" s="291" t="s">
        <v>41</v>
      </c>
      <c r="D105" s="185">
        <v>25.25</v>
      </c>
      <c r="E105" s="375">
        <f>D105+(D105*$C$5)</f>
        <v>25.906500000000001</v>
      </c>
      <c r="F105" s="377">
        <f t="shared" si="12"/>
        <v>26.580069000000002</v>
      </c>
      <c r="G105" s="377">
        <f t="shared" si="13"/>
        <v>27.271150794</v>
      </c>
      <c r="H105" s="377">
        <f t="shared" si="14"/>
        <v>27.980200714643999</v>
      </c>
      <c r="I105" s="377">
        <f t="shared" si="15"/>
        <v>28.707685933224742</v>
      </c>
      <c r="J105" s="620"/>
    </row>
    <row r="106" spans="1:10" ht="30" x14ac:dyDescent="0.25">
      <c r="A106" s="265" t="s">
        <v>23</v>
      </c>
      <c r="B106" s="291" t="s">
        <v>202</v>
      </c>
      <c r="C106" s="291" t="s">
        <v>41</v>
      </c>
      <c r="D106" s="185">
        <v>25.25</v>
      </c>
      <c r="E106" s="375">
        <f>D106+(D106*$C$5)</f>
        <v>25.906500000000001</v>
      </c>
      <c r="F106" s="377">
        <f t="shared" si="12"/>
        <v>26.580069000000002</v>
      </c>
      <c r="G106" s="377">
        <f t="shared" si="13"/>
        <v>27.271150794</v>
      </c>
      <c r="H106" s="377">
        <f t="shared" si="14"/>
        <v>27.980200714643999</v>
      </c>
      <c r="I106" s="377">
        <f t="shared" si="15"/>
        <v>28.707685933224742</v>
      </c>
      <c r="J106" s="620"/>
    </row>
    <row r="107" spans="1:10" ht="30" x14ac:dyDescent="0.25">
      <c r="A107" s="265" t="s">
        <v>24</v>
      </c>
      <c r="B107" s="291" t="s">
        <v>202</v>
      </c>
      <c r="C107" s="291" t="s">
        <v>41</v>
      </c>
      <c r="D107" s="185">
        <v>25.25</v>
      </c>
      <c r="E107" s="375">
        <f>D107+(D107*$C$5)</f>
        <v>25.906500000000001</v>
      </c>
      <c r="F107" s="377">
        <f t="shared" si="12"/>
        <v>26.580069000000002</v>
      </c>
      <c r="G107" s="377">
        <f t="shared" si="13"/>
        <v>27.271150794</v>
      </c>
      <c r="H107" s="377">
        <f t="shared" si="14"/>
        <v>27.980200714643999</v>
      </c>
      <c r="I107" s="377">
        <f t="shared" si="15"/>
        <v>28.707685933224742</v>
      </c>
      <c r="J107" s="620"/>
    </row>
    <row r="108" spans="1:10" ht="30" x14ac:dyDescent="0.25">
      <c r="A108" s="265" t="s">
        <v>25</v>
      </c>
      <c r="B108" s="79" t="s">
        <v>184</v>
      </c>
      <c r="C108" s="79" t="s">
        <v>152</v>
      </c>
      <c r="D108" s="618">
        <v>11.37</v>
      </c>
      <c r="E108" s="319">
        <f>D108+(D108*$C$5)</f>
        <v>11.665619999999999</v>
      </c>
      <c r="F108" s="321">
        <f t="shared" si="12"/>
        <v>11.968926119999999</v>
      </c>
      <c r="G108" s="321">
        <f t="shared" si="13"/>
        <v>12.280118199119999</v>
      </c>
      <c r="H108" s="321">
        <f t="shared" si="14"/>
        <v>12.599401272297118</v>
      </c>
      <c r="I108" s="321">
        <f t="shared" si="15"/>
        <v>12.926985705376843</v>
      </c>
    </row>
    <row r="109" spans="1:10" x14ac:dyDescent="0.25">
      <c r="A109" s="265" t="s">
        <v>3</v>
      </c>
      <c r="B109" s="79" t="s">
        <v>138</v>
      </c>
      <c r="C109" s="79" t="s">
        <v>152</v>
      </c>
      <c r="D109" s="618">
        <v>8.2799999999999994</v>
      </c>
      <c r="E109" s="319">
        <f>D109+(D109*$C$5)</f>
        <v>8.4952799999999993</v>
      </c>
      <c r="F109" s="321">
        <f t="shared" si="12"/>
        <v>8.7161572799999991</v>
      </c>
      <c r="G109" s="321">
        <f t="shared" si="13"/>
        <v>8.9427773692799999</v>
      </c>
      <c r="H109" s="321">
        <f t="shared" si="14"/>
        <v>9.1752895808812802</v>
      </c>
      <c r="I109" s="321">
        <f t="shared" si="15"/>
        <v>9.4138471099841929</v>
      </c>
    </row>
    <row r="110" spans="1:10" x14ac:dyDescent="0.25">
      <c r="A110" s="265" t="s">
        <v>1</v>
      </c>
      <c r="B110" s="79"/>
      <c r="C110" s="79" t="s">
        <v>152</v>
      </c>
      <c r="D110" s="618">
        <v>4.7699999999999996</v>
      </c>
      <c r="E110" s="319">
        <v>5.18</v>
      </c>
      <c r="F110" s="321">
        <f t="shared" si="12"/>
        <v>5.3146800000000001</v>
      </c>
      <c r="G110" s="321">
        <f t="shared" si="13"/>
        <v>5.4528616799999998</v>
      </c>
      <c r="H110" s="321">
        <f t="shared" si="14"/>
        <v>5.5946360836800002</v>
      </c>
      <c r="I110" s="321">
        <f t="shared" si="15"/>
        <v>5.7400966218556801</v>
      </c>
    </row>
    <row r="111" spans="1:10" x14ac:dyDescent="0.25">
      <c r="A111" s="265" t="s">
        <v>2</v>
      </c>
      <c r="B111" s="79"/>
      <c r="C111" s="79" t="s">
        <v>152</v>
      </c>
      <c r="D111" s="618">
        <v>2.94</v>
      </c>
      <c r="E111" s="319">
        <v>2.5</v>
      </c>
      <c r="F111" s="321">
        <f t="shared" ref="F111" si="16">E111+(E111*$C$6)</f>
        <v>2.5649999999999999</v>
      </c>
      <c r="G111" s="321">
        <f t="shared" ref="G111" si="17">F111+(F111*$C$7)</f>
        <v>2.6316899999999999</v>
      </c>
      <c r="H111" s="321">
        <f t="shared" ref="H111" si="18">G111+(G111*$C$8)</f>
        <v>2.70011394</v>
      </c>
      <c r="I111" s="321">
        <f t="shared" ref="I111" si="19">H111+(H111*$C$9)</f>
        <v>2.7703169024399998</v>
      </c>
    </row>
    <row r="112" spans="1:10" x14ac:dyDescent="0.25">
      <c r="A112" s="265" t="s">
        <v>265</v>
      </c>
      <c r="B112" s="79" t="s">
        <v>561</v>
      </c>
      <c r="C112" s="79" t="s">
        <v>371</v>
      </c>
      <c r="D112" s="185"/>
      <c r="E112" s="319">
        <f>10000/5</f>
        <v>2000</v>
      </c>
      <c r="F112" s="321">
        <f t="shared" ref="F112:I112" si="20">10000/5</f>
        <v>2000</v>
      </c>
      <c r="G112" s="321">
        <f t="shared" si="20"/>
        <v>2000</v>
      </c>
      <c r="H112" s="321">
        <f t="shared" si="20"/>
        <v>2000</v>
      </c>
      <c r="I112" s="321">
        <f t="shared" si="20"/>
        <v>2000</v>
      </c>
    </row>
    <row r="113" spans="1:9" x14ac:dyDescent="0.25">
      <c r="A113" s="265" t="s">
        <v>266</v>
      </c>
      <c r="B113" s="291"/>
      <c r="C113" s="291"/>
      <c r="D113" s="185"/>
      <c r="E113" s="358"/>
      <c r="F113" s="359"/>
      <c r="G113" s="359"/>
      <c r="H113" s="359"/>
      <c r="I113" s="359"/>
    </row>
    <row r="114" spans="1:9" x14ac:dyDescent="0.25">
      <c r="A114" s="265" t="s">
        <v>1043</v>
      </c>
      <c r="B114" s="79" t="s">
        <v>184</v>
      </c>
      <c r="C114" s="79" t="s">
        <v>152</v>
      </c>
      <c r="D114" s="185"/>
      <c r="E114" s="319">
        <v>11.54</v>
      </c>
      <c r="F114" s="321">
        <f t="shared" ref="F114:F126" si="21">E114+(E114*$C$6)</f>
        <v>11.840039999999998</v>
      </c>
      <c r="G114" s="321">
        <f t="shared" ref="G114:G126" si="22">F114+(F114*$C$7)</f>
        <v>12.147881039999998</v>
      </c>
      <c r="H114" s="321">
        <f t="shared" ref="H114:H126" si="23">G114+(G114*$C$8)</f>
        <v>12.463725947039999</v>
      </c>
      <c r="I114" s="321">
        <f t="shared" ref="I114:I126" si="24">H114+(H114*$C$9)</f>
        <v>12.787782821663038</v>
      </c>
    </row>
    <row r="115" spans="1:9" x14ac:dyDescent="0.25">
      <c r="A115" s="265" t="s">
        <v>541</v>
      </c>
      <c r="B115" s="79" t="s">
        <v>184</v>
      </c>
      <c r="C115" s="79" t="s">
        <v>152</v>
      </c>
      <c r="D115" s="185"/>
      <c r="E115" s="319">
        <v>3.4</v>
      </c>
      <c r="F115" s="321">
        <f t="shared" si="21"/>
        <v>3.4883999999999999</v>
      </c>
      <c r="G115" s="321">
        <f t="shared" si="22"/>
        <v>3.5790983999999999</v>
      </c>
      <c r="H115" s="321">
        <f t="shared" si="23"/>
        <v>3.6721549583999997</v>
      </c>
      <c r="I115" s="321">
        <f t="shared" si="24"/>
        <v>3.7676309873183995</v>
      </c>
    </row>
    <row r="116" spans="1:9" x14ac:dyDescent="0.25">
      <c r="A116" s="265" t="s">
        <v>1042</v>
      </c>
      <c r="B116" s="79" t="s">
        <v>184</v>
      </c>
      <c r="C116" s="79" t="s">
        <v>152</v>
      </c>
      <c r="D116" s="185"/>
      <c r="E116" s="319">
        <v>8.82</v>
      </c>
      <c r="F116" s="321">
        <f t="shared" si="21"/>
        <v>9.0493199999999998</v>
      </c>
      <c r="G116" s="321">
        <f t="shared" si="22"/>
        <v>9.2846023199999994</v>
      </c>
      <c r="H116" s="321">
        <f t="shared" si="23"/>
        <v>9.5260019803200002</v>
      </c>
      <c r="I116" s="321">
        <f t="shared" si="24"/>
        <v>9.7736780318083198</v>
      </c>
    </row>
    <row r="117" spans="1:9" x14ac:dyDescent="0.25">
      <c r="A117" s="265" t="s">
        <v>1044</v>
      </c>
      <c r="B117" s="79" t="s">
        <v>184</v>
      </c>
      <c r="C117" s="79" t="s">
        <v>152</v>
      </c>
      <c r="D117" s="185"/>
      <c r="E117" s="319">
        <v>2.6</v>
      </c>
      <c r="F117" s="321">
        <f t="shared" si="21"/>
        <v>2.6676000000000002</v>
      </c>
      <c r="G117" s="321">
        <f t="shared" si="22"/>
        <v>2.7369576000000002</v>
      </c>
      <c r="H117" s="321">
        <f t="shared" si="23"/>
        <v>2.8081184976000002</v>
      </c>
      <c r="I117" s="321">
        <f t="shared" si="24"/>
        <v>2.8811295785376001</v>
      </c>
    </row>
    <row r="118" spans="1:9" x14ac:dyDescent="0.25">
      <c r="A118" s="265" t="s">
        <v>1045</v>
      </c>
      <c r="B118" s="79" t="s">
        <v>184</v>
      </c>
      <c r="C118" s="79" t="s">
        <v>152</v>
      </c>
      <c r="D118" s="185"/>
      <c r="E118" s="319">
        <v>8.82</v>
      </c>
      <c r="F118" s="321">
        <f t="shared" si="21"/>
        <v>9.0493199999999998</v>
      </c>
      <c r="G118" s="321">
        <f t="shared" si="22"/>
        <v>9.2846023199999994</v>
      </c>
      <c r="H118" s="321">
        <f t="shared" si="23"/>
        <v>9.5260019803200002</v>
      </c>
      <c r="I118" s="321">
        <f t="shared" si="24"/>
        <v>9.7736780318083198</v>
      </c>
    </row>
    <row r="119" spans="1:9" x14ac:dyDescent="0.25">
      <c r="A119" s="265" t="s">
        <v>1046</v>
      </c>
      <c r="B119" s="79" t="s">
        <v>184</v>
      </c>
      <c r="C119" s="79" t="s">
        <v>152</v>
      </c>
      <c r="D119" s="185"/>
      <c r="E119" s="319">
        <v>2.6</v>
      </c>
      <c r="F119" s="321">
        <f t="shared" si="21"/>
        <v>2.6676000000000002</v>
      </c>
      <c r="G119" s="321">
        <f t="shared" si="22"/>
        <v>2.7369576000000002</v>
      </c>
      <c r="H119" s="321">
        <f t="shared" si="23"/>
        <v>2.8081184976000002</v>
      </c>
      <c r="I119" s="321">
        <f t="shared" si="24"/>
        <v>2.8811295785376001</v>
      </c>
    </row>
    <row r="120" spans="1:9" x14ac:dyDescent="0.25">
      <c r="A120" s="265" t="s">
        <v>334</v>
      </c>
      <c r="B120" s="79" t="s">
        <v>184</v>
      </c>
      <c r="C120" s="79" t="s">
        <v>152</v>
      </c>
      <c r="D120" s="185"/>
      <c r="E120" s="319">
        <v>12.53</v>
      </c>
      <c r="F120" s="321">
        <f t="shared" si="21"/>
        <v>12.855779999999999</v>
      </c>
      <c r="G120" s="321">
        <f t="shared" si="22"/>
        <v>13.190030279999998</v>
      </c>
      <c r="H120" s="321">
        <f t="shared" si="23"/>
        <v>13.532971067279998</v>
      </c>
      <c r="I120" s="321">
        <f t="shared" si="24"/>
        <v>13.884828315029278</v>
      </c>
    </row>
    <row r="121" spans="1:9" ht="30" x14ac:dyDescent="0.25">
      <c r="A121" s="265" t="s">
        <v>1047</v>
      </c>
      <c r="B121" s="79" t="s">
        <v>184</v>
      </c>
      <c r="C121" s="79" t="s">
        <v>152</v>
      </c>
      <c r="D121" s="185"/>
      <c r="E121" s="319">
        <v>6.31</v>
      </c>
      <c r="F121" s="321">
        <f t="shared" si="21"/>
        <v>6.4740599999999997</v>
      </c>
      <c r="G121" s="321">
        <f t="shared" si="22"/>
        <v>6.6423855599999992</v>
      </c>
      <c r="H121" s="321">
        <f t="shared" si="23"/>
        <v>6.8150875845599996</v>
      </c>
      <c r="I121" s="321">
        <f t="shared" si="24"/>
        <v>6.9922798617585595</v>
      </c>
    </row>
    <row r="122" spans="1:9" x14ac:dyDescent="0.25">
      <c r="A122" s="265" t="s">
        <v>550</v>
      </c>
      <c r="B122" s="79" t="s">
        <v>129</v>
      </c>
      <c r="C122" s="79" t="s">
        <v>1165</v>
      </c>
      <c r="D122" s="618">
        <v>120</v>
      </c>
      <c r="E122" s="319">
        <f>D122+(D122*$C$5)</f>
        <v>123.12</v>
      </c>
      <c r="F122" s="321">
        <f t="shared" si="21"/>
        <v>126.32112000000001</v>
      </c>
      <c r="G122" s="321">
        <f t="shared" si="22"/>
        <v>129.60546912000001</v>
      </c>
      <c r="H122" s="321">
        <f t="shared" si="23"/>
        <v>132.97521131712</v>
      </c>
      <c r="I122" s="321">
        <f t="shared" si="24"/>
        <v>136.43256681136512</v>
      </c>
    </row>
    <row r="123" spans="1:9" ht="30" x14ac:dyDescent="0.25">
      <c r="A123" s="265" t="s">
        <v>551</v>
      </c>
      <c r="B123" s="79"/>
      <c r="C123" s="79"/>
      <c r="D123" s="618">
        <v>7.37</v>
      </c>
      <c r="E123" s="319">
        <f>D123+(D123*$C$6)</f>
        <v>7.5616200000000005</v>
      </c>
      <c r="F123" s="321">
        <f t="shared" si="21"/>
        <v>7.7582221200000001</v>
      </c>
      <c r="G123" s="321">
        <f t="shared" si="22"/>
        <v>7.9599358951200001</v>
      </c>
      <c r="H123" s="321">
        <f t="shared" si="23"/>
        <v>8.1668942283931205</v>
      </c>
      <c r="I123" s="321">
        <f t="shared" si="24"/>
        <v>8.3792334783313418</v>
      </c>
    </row>
    <row r="124" spans="1:9" ht="30" x14ac:dyDescent="0.25">
      <c r="A124" s="265" t="s">
        <v>552</v>
      </c>
      <c r="B124" s="79"/>
      <c r="C124" s="79"/>
      <c r="D124" s="618">
        <v>5.0599999999999996</v>
      </c>
      <c r="E124" s="319">
        <f>D124+(D124*$C$6)</f>
        <v>5.19156</v>
      </c>
      <c r="F124" s="321">
        <f t="shared" si="21"/>
        <v>5.3265405599999998</v>
      </c>
      <c r="G124" s="321">
        <f t="shared" si="22"/>
        <v>5.4650306145599998</v>
      </c>
      <c r="H124" s="321">
        <f t="shared" si="23"/>
        <v>5.6071214105385598</v>
      </c>
      <c r="I124" s="321">
        <f t="shared" si="24"/>
        <v>5.7529065672125625</v>
      </c>
    </row>
    <row r="125" spans="1:9" ht="30" x14ac:dyDescent="0.25">
      <c r="A125" s="265" t="s">
        <v>553</v>
      </c>
      <c r="B125" s="79"/>
      <c r="C125" s="79"/>
      <c r="D125" s="618">
        <v>7.37</v>
      </c>
      <c r="E125" s="319">
        <f>D125+(D125*$C$6)</f>
        <v>7.5616200000000005</v>
      </c>
      <c r="F125" s="321">
        <f t="shared" si="21"/>
        <v>7.7582221200000001</v>
      </c>
      <c r="G125" s="321">
        <f t="shared" si="22"/>
        <v>7.9599358951200001</v>
      </c>
      <c r="H125" s="321">
        <f t="shared" si="23"/>
        <v>8.1668942283931205</v>
      </c>
      <c r="I125" s="321">
        <f t="shared" si="24"/>
        <v>8.3792334783313418</v>
      </c>
    </row>
    <row r="126" spans="1:9" ht="30" x14ac:dyDescent="0.25">
      <c r="A126" s="265" t="s">
        <v>554</v>
      </c>
      <c r="B126" s="79"/>
      <c r="C126" s="79"/>
      <c r="D126" s="618">
        <v>5.0599999999999996</v>
      </c>
      <c r="E126" s="319">
        <f>D126+(D126*$C$6)</f>
        <v>5.19156</v>
      </c>
      <c r="F126" s="321">
        <f t="shared" si="21"/>
        <v>5.3265405599999998</v>
      </c>
      <c r="G126" s="321">
        <f t="shared" si="22"/>
        <v>5.4650306145599998</v>
      </c>
      <c r="H126" s="321">
        <f t="shared" si="23"/>
        <v>5.6071214105385598</v>
      </c>
      <c r="I126" s="321">
        <f t="shared" si="24"/>
        <v>5.7529065672125625</v>
      </c>
    </row>
  </sheetData>
  <mergeCells count="2">
    <mergeCell ref="R10:U10"/>
    <mergeCell ref="CP10:CS10"/>
  </mergeCells>
  <pageMargins left="0.7" right="0.7" top="0.75" bottom="0.75" header="0.3" footer="0.3"/>
  <pageSetup scale="63" fitToHeight="10"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B6305DA3-A032-4F38-BA31-37F5B3FAC8B9}">
      <pageMargins left="0.7" right="0.7" top="0.75" bottom="0.75" header="0.3" footer="0.3"/>
    </customSheetView>
    <customSheetView guid="{BE213145-94B6-4D67-83E8-F1C2631C8B17}">
      <pageMargins left="0.7" right="0.7" top="0.75" bottom="0.75" header="0.3" footer="0.3"/>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selection activeCell="E50" sqref="E50"/>
    </sheetView>
  </sheetViews>
  <sheetFormatPr defaultRowHeight="15" x14ac:dyDescent="0.25"/>
  <cols>
    <col min="1" max="1" width="19.140625" style="308" bestFit="1" customWidth="1"/>
    <col min="2" max="2" width="24" style="308" bestFit="1" customWidth="1"/>
    <col min="3" max="3" width="15.28515625" bestFit="1" customWidth="1"/>
    <col min="4" max="4" width="27.7109375" style="308" bestFit="1" customWidth="1"/>
    <col min="5" max="5" width="19.85546875" style="312" bestFit="1" customWidth="1"/>
  </cols>
  <sheetData>
    <row r="1" spans="1:5" x14ac:dyDescent="0.25">
      <c r="A1" s="316" t="s">
        <v>374</v>
      </c>
      <c r="B1" s="316" t="s">
        <v>148</v>
      </c>
      <c r="C1" s="317" t="s">
        <v>375</v>
      </c>
      <c r="D1" s="316" t="s">
        <v>379</v>
      </c>
      <c r="E1" s="318" t="s">
        <v>485</v>
      </c>
    </row>
    <row r="2" spans="1:5" x14ac:dyDescent="0.25">
      <c r="A2" s="308" t="s">
        <v>373</v>
      </c>
      <c r="B2" s="308" t="s">
        <v>372</v>
      </c>
      <c r="C2" t="s">
        <v>378</v>
      </c>
      <c r="D2" s="314"/>
      <c r="E2" s="311"/>
    </row>
    <row r="3" spans="1:5" ht="30" x14ac:dyDescent="0.25">
      <c r="B3" s="308" t="s">
        <v>376</v>
      </c>
      <c r="C3" t="s">
        <v>377</v>
      </c>
      <c r="D3" s="308" t="s">
        <v>442</v>
      </c>
      <c r="E3" s="313">
        <f>24*365</f>
        <v>8760</v>
      </c>
    </row>
    <row r="4" spans="1:5" ht="30" x14ac:dyDescent="0.25">
      <c r="B4" s="308" t="s">
        <v>380</v>
      </c>
      <c r="C4" t="s">
        <v>381</v>
      </c>
      <c r="D4" s="308" t="s">
        <v>442</v>
      </c>
      <c r="E4" s="313">
        <f>24*365</f>
        <v>8760</v>
      </c>
    </row>
    <row r="5" spans="1:5" ht="60" x14ac:dyDescent="0.25">
      <c r="B5" s="308" t="s">
        <v>383</v>
      </c>
      <c r="C5" t="s">
        <v>384</v>
      </c>
      <c r="D5" s="308" t="s">
        <v>382</v>
      </c>
      <c r="E5" s="312">
        <f>96*365</f>
        <v>35040</v>
      </c>
    </row>
    <row r="6" spans="1:5" ht="30" x14ac:dyDescent="0.25">
      <c r="A6" s="308" t="s">
        <v>385</v>
      </c>
      <c r="B6" s="308" t="s">
        <v>386</v>
      </c>
      <c r="C6" t="s">
        <v>387</v>
      </c>
      <c r="D6" s="315"/>
      <c r="E6" s="311"/>
    </row>
    <row r="7" spans="1:5" ht="30" x14ac:dyDescent="0.25">
      <c r="B7" s="308" t="s">
        <v>389</v>
      </c>
      <c r="C7" t="s">
        <v>388</v>
      </c>
      <c r="D7" s="315"/>
      <c r="E7" s="311"/>
    </row>
    <row r="8" spans="1:5" ht="75" x14ac:dyDescent="0.25">
      <c r="A8" s="308" t="s">
        <v>0</v>
      </c>
      <c r="B8" s="308" t="s">
        <v>0</v>
      </c>
      <c r="C8" t="s">
        <v>390</v>
      </c>
      <c r="D8" s="308" t="s">
        <v>391</v>
      </c>
      <c r="E8" s="313">
        <f>32*(5*52)</f>
        <v>8320</v>
      </c>
    </row>
    <row r="9" spans="1:5" ht="75" x14ac:dyDescent="0.25">
      <c r="B9" s="308" t="s">
        <v>392</v>
      </c>
      <c r="C9" t="s">
        <v>393</v>
      </c>
      <c r="D9" s="308" t="s">
        <v>391</v>
      </c>
      <c r="E9" s="313">
        <f t="shared" ref="E9:E11" si="0">32*(5*52)</f>
        <v>8320</v>
      </c>
    </row>
    <row r="10" spans="1:5" ht="75" x14ac:dyDescent="0.25">
      <c r="A10" s="308" t="s">
        <v>486</v>
      </c>
      <c r="B10" s="308" t="s">
        <v>394</v>
      </c>
      <c r="C10" t="s">
        <v>395</v>
      </c>
      <c r="D10" s="308" t="s">
        <v>391</v>
      </c>
      <c r="E10" s="313">
        <f t="shared" si="0"/>
        <v>8320</v>
      </c>
    </row>
    <row r="11" spans="1:5" ht="75" x14ac:dyDescent="0.25">
      <c r="A11" s="308" t="s">
        <v>86</v>
      </c>
      <c r="B11" s="308" t="s">
        <v>86</v>
      </c>
      <c r="C11" t="s">
        <v>396</v>
      </c>
      <c r="D11" s="308" t="s">
        <v>391</v>
      </c>
      <c r="E11" s="313">
        <f t="shared" si="0"/>
        <v>8320</v>
      </c>
    </row>
    <row r="12" spans="1:5" ht="90" x14ac:dyDescent="0.25">
      <c r="A12" s="308" t="s">
        <v>397</v>
      </c>
      <c r="B12" s="308" t="s">
        <v>397</v>
      </c>
      <c r="C12" t="s">
        <v>398</v>
      </c>
      <c r="D12" s="308" t="s">
        <v>399</v>
      </c>
      <c r="E12" s="311"/>
    </row>
    <row r="13" spans="1:5" ht="60" x14ac:dyDescent="0.25">
      <c r="A13" s="308" t="s">
        <v>400</v>
      </c>
      <c r="B13" s="308" t="s">
        <v>401</v>
      </c>
      <c r="C13" t="s">
        <v>402</v>
      </c>
      <c r="D13" s="308" t="s">
        <v>403</v>
      </c>
      <c r="E13" s="312">
        <f>16*25</f>
        <v>400</v>
      </c>
    </row>
    <row r="14" spans="1:5" ht="60" x14ac:dyDescent="0.25">
      <c r="B14" s="308" t="s">
        <v>405</v>
      </c>
      <c r="C14" t="s">
        <v>404</v>
      </c>
      <c r="D14" s="308" t="s">
        <v>403</v>
      </c>
      <c r="E14" s="312">
        <f>16*25</f>
        <v>400</v>
      </c>
    </row>
    <row r="15" spans="1:5" ht="75" x14ac:dyDescent="0.25">
      <c r="A15" s="308" t="s">
        <v>487</v>
      </c>
      <c r="B15" s="308" t="s">
        <v>406</v>
      </c>
      <c r="C15" t="s">
        <v>407</v>
      </c>
      <c r="D15" s="308" t="s">
        <v>408</v>
      </c>
      <c r="E15" s="312">
        <f>24*(5*52)</f>
        <v>6240</v>
      </c>
    </row>
    <row r="16" spans="1:5" ht="75" x14ac:dyDescent="0.25">
      <c r="A16" s="308" t="s">
        <v>221</v>
      </c>
      <c r="B16" s="308" t="s">
        <v>409</v>
      </c>
      <c r="C16" t="s">
        <v>410</v>
      </c>
      <c r="D16" s="308" t="s">
        <v>411</v>
      </c>
      <c r="E16" s="312">
        <f>32*365</f>
        <v>11680</v>
      </c>
    </row>
    <row r="17" spans="1:5" ht="60" x14ac:dyDescent="0.25">
      <c r="B17" s="308" t="s">
        <v>412</v>
      </c>
      <c r="C17" t="s">
        <v>413</v>
      </c>
      <c r="D17" s="308" t="s">
        <v>414</v>
      </c>
      <c r="E17" s="312">
        <f>32*180</f>
        <v>5760</v>
      </c>
    </row>
    <row r="18" spans="1:5" ht="60" x14ac:dyDescent="0.25">
      <c r="A18" s="308" t="s">
        <v>415</v>
      </c>
      <c r="B18" s="308" t="s">
        <v>415</v>
      </c>
      <c r="C18" t="s">
        <v>416</v>
      </c>
      <c r="D18" s="308" t="s">
        <v>403</v>
      </c>
      <c r="E18" s="312">
        <f>16*25</f>
        <v>400</v>
      </c>
    </row>
    <row r="19" spans="1:5" ht="45" x14ac:dyDescent="0.25">
      <c r="A19" s="308" t="s">
        <v>28</v>
      </c>
      <c r="B19" s="308" t="s">
        <v>28</v>
      </c>
      <c r="C19" t="s">
        <v>417</v>
      </c>
      <c r="D19" s="308" t="s">
        <v>418</v>
      </c>
      <c r="E19" s="312">
        <f>1*5000</f>
        <v>5000</v>
      </c>
    </row>
    <row r="20" spans="1:5" ht="60" x14ac:dyDescent="0.25">
      <c r="A20" s="308" t="s">
        <v>419</v>
      </c>
      <c r="B20" s="308" t="s">
        <v>419</v>
      </c>
      <c r="C20" t="s">
        <v>420</v>
      </c>
      <c r="D20" s="308" t="s">
        <v>421</v>
      </c>
      <c r="E20" s="312">
        <f>64*365</f>
        <v>23360</v>
      </c>
    </row>
    <row r="21" spans="1:5" x14ac:dyDescent="0.25">
      <c r="A21" s="308" t="s">
        <v>422</v>
      </c>
      <c r="B21" s="308" t="s">
        <v>422</v>
      </c>
      <c r="C21" t="s">
        <v>423</v>
      </c>
      <c r="D21" s="314"/>
      <c r="E21" s="311"/>
    </row>
    <row r="22" spans="1:5" ht="60" x14ac:dyDescent="0.25">
      <c r="B22" s="308" t="s">
        <v>424</v>
      </c>
      <c r="C22" t="s">
        <v>425</v>
      </c>
      <c r="D22" s="308" t="s">
        <v>403</v>
      </c>
      <c r="E22" s="312">
        <f>16*25</f>
        <v>400</v>
      </c>
    </row>
    <row r="23" spans="1:5" ht="60" x14ac:dyDescent="0.25">
      <c r="A23" s="308" t="s">
        <v>426</v>
      </c>
      <c r="B23" s="308" t="s">
        <v>427</v>
      </c>
      <c r="C23" t="s">
        <v>428</v>
      </c>
      <c r="D23" s="308" t="s">
        <v>429</v>
      </c>
      <c r="E23" s="312">
        <f>56*51.43</f>
        <v>2880.08</v>
      </c>
    </row>
    <row r="24" spans="1:5" ht="30" x14ac:dyDescent="0.25">
      <c r="B24" s="308" t="s">
        <v>430</v>
      </c>
      <c r="C24" t="s">
        <v>431</v>
      </c>
      <c r="D24" s="308" t="s">
        <v>432</v>
      </c>
      <c r="E24" s="312">
        <f>1*30</f>
        <v>30</v>
      </c>
    </row>
    <row r="25" spans="1:5" ht="45" x14ac:dyDescent="0.25">
      <c r="A25" s="308" t="s">
        <v>433</v>
      </c>
      <c r="B25" s="308" t="s">
        <v>433</v>
      </c>
      <c r="C25" t="s">
        <v>434</v>
      </c>
      <c r="D25" s="308" t="s">
        <v>435</v>
      </c>
      <c r="E25" s="312">
        <f>1*52</f>
        <v>52</v>
      </c>
    </row>
    <row r="26" spans="1:5" ht="30" x14ac:dyDescent="0.25">
      <c r="B26" s="308" t="s">
        <v>436</v>
      </c>
      <c r="C26" t="s">
        <v>437</v>
      </c>
      <c r="D26" s="308" t="s">
        <v>438</v>
      </c>
      <c r="E26" s="312">
        <v>1</v>
      </c>
    </row>
    <row r="27" spans="1:5" ht="30" x14ac:dyDescent="0.25">
      <c r="B27" s="308" t="s">
        <v>439</v>
      </c>
      <c r="C27" t="s">
        <v>440</v>
      </c>
      <c r="D27" s="308" t="s">
        <v>441</v>
      </c>
      <c r="E27" s="312">
        <f>96*365</f>
        <v>35040</v>
      </c>
    </row>
    <row r="28" spans="1:5" ht="30" x14ac:dyDescent="0.25">
      <c r="B28" s="308" t="s">
        <v>443</v>
      </c>
      <c r="C28" t="s">
        <v>444</v>
      </c>
      <c r="D28" s="308" t="s">
        <v>441</v>
      </c>
      <c r="E28" s="312">
        <f>96*365</f>
        <v>35040</v>
      </c>
    </row>
    <row r="29" spans="1:5" ht="75" x14ac:dyDescent="0.25">
      <c r="A29" s="308" t="s">
        <v>445</v>
      </c>
      <c r="B29" s="308" t="s">
        <v>446</v>
      </c>
      <c r="C29" t="s">
        <v>447</v>
      </c>
      <c r="D29" s="308" t="s">
        <v>448</v>
      </c>
      <c r="E29" s="312">
        <f>32*10</f>
        <v>320</v>
      </c>
    </row>
    <row r="30" spans="1:5" ht="60" x14ac:dyDescent="0.25">
      <c r="B30" s="308" t="s">
        <v>449</v>
      </c>
      <c r="C30" t="s">
        <v>450</v>
      </c>
      <c r="D30" s="308" t="s">
        <v>453</v>
      </c>
      <c r="E30" s="312">
        <f>32*2.5</f>
        <v>80</v>
      </c>
    </row>
    <row r="31" spans="1:5" ht="60" x14ac:dyDescent="0.25">
      <c r="B31" s="308" t="s">
        <v>452</v>
      </c>
      <c r="C31" t="s">
        <v>451</v>
      </c>
      <c r="D31" s="308" t="s">
        <v>454</v>
      </c>
      <c r="E31" s="312">
        <f>32*30</f>
        <v>960</v>
      </c>
    </row>
    <row r="32" spans="1:5" ht="60" x14ac:dyDescent="0.25">
      <c r="B32" s="308" t="s">
        <v>455</v>
      </c>
      <c r="C32" t="s">
        <v>456</v>
      </c>
      <c r="D32" s="308" t="s">
        <v>454</v>
      </c>
      <c r="E32" s="312">
        <f>32*30</f>
        <v>960</v>
      </c>
    </row>
    <row r="33" spans="1:5" ht="60" x14ac:dyDescent="0.25">
      <c r="B33" s="308" t="s">
        <v>457</v>
      </c>
      <c r="C33" t="s">
        <v>458</v>
      </c>
      <c r="D33" s="308" t="s">
        <v>459</v>
      </c>
      <c r="E33" s="312">
        <f>32*40</f>
        <v>1280</v>
      </c>
    </row>
    <row r="34" spans="1:5" ht="60" x14ac:dyDescent="0.25">
      <c r="B34" s="308" t="s">
        <v>460</v>
      </c>
      <c r="C34" t="s">
        <v>461</v>
      </c>
      <c r="D34" s="308" t="s">
        <v>459</v>
      </c>
      <c r="E34" s="312">
        <f>32*40</f>
        <v>1280</v>
      </c>
    </row>
    <row r="35" spans="1:5" ht="60" x14ac:dyDescent="0.25">
      <c r="B35" s="308" t="s">
        <v>462</v>
      </c>
      <c r="C35" t="s">
        <v>463</v>
      </c>
      <c r="D35" s="308" t="s">
        <v>464</v>
      </c>
      <c r="E35" s="312">
        <f>32*(22*8)</f>
        <v>5632</v>
      </c>
    </row>
    <row r="36" spans="1:5" ht="60" x14ac:dyDescent="0.25">
      <c r="B36" s="308" t="s">
        <v>465</v>
      </c>
      <c r="C36" t="s">
        <v>466</v>
      </c>
      <c r="D36" s="308" t="s">
        <v>464</v>
      </c>
      <c r="E36" s="312">
        <f>32*(22*8)</f>
        <v>5632</v>
      </c>
    </row>
    <row r="37" spans="1:5" ht="60" x14ac:dyDescent="0.25">
      <c r="A37" s="308" t="s">
        <v>488</v>
      </c>
      <c r="B37" s="308" t="s">
        <v>469</v>
      </c>
      <c r="C37" t="s">
        <v>467</v>
      </c>
      <c r="D37" s="308" t="s">
        <v>459</v>
      </c>
      <c r="E37" s="312">
        <f t="shared" ref="E37:E38" si="1">32*40</f>
        <v>1280</v>
      </c>
    </row>
    <row r="38" spans="1:5" ht="60" x14ac:dyDescent="0.25">
      <c r="B38" s="308" t="s">
        <v>470</v>
      </c>
      <c r="C38" t="s">
        <v>468</v>
      </c>
      <c r="D38" s="308" t="s">
        <v>459</v>
      </c>
      <c r="E38" s="312">
        <f t="shared" si="1"/>
        <v>1280</v>
      </c>
    </row>
    <row r="39" spans="1:5" ht="60" x14ac:dyDescent="0.25">
      <c r="B39" s="308" t="s">
        <v>471</v>
      </c>
      <c r="C39" t="s">
        <v>472</v>
      </c>
      <c r="D39" s="308" t="s">
        <v>464</v>
      </c>
      <c r="E39" s="312">
        <f>32*(22*8)</f>
        <v>5632</v>
      </c>
    </row>
    <row r="40" spans="1:5" ht="60" x14ac:dyDescent="0.25">
      <c r="B40" s="308" t="s">
        <v>470</v>
      </c>
      <c r="C40" t="s">
        <v>473</v>
      </c>
      <c r="D40" s="308" t="s">
        <v>464</v>
      </c>
      <c r="E40" s="312">
        <f>32*(22*8)</f>
        <v>5632</v>
      </c>
    </row>
    <row r="41" spans="1:5" ht="45" x14ac:dyDescent="0.25">
      <c r="A41" s="308" t="s">
        <v>474</v>
      </c>
      <c r="B41" s="308" t="s">
        <v>474</v>
      </c>
      <c r="C41" t="s">
        <v>475</v>
      </c>
      <c r="D41" s="308" t="s">
        <v>476</v>
      </c>
      <c r="E41" s="312">
        <f>16*365</f>
        <v>5840</v>
      </c>
    </row>
    <row r="42" spans="1:5" ht="60" x14ac:dyDescent="0.25">
      <c r="B42" s="308" t="s">
        <v>477</v>
      </c>
      <c r="C42" t="s">
        <v>478</v>
      </c>
      <c r="D42" s="308" t="s">
        <v>403</v>
      </c>
      <c r="E42" s="312">
        <f>16*25</f>
        <v>400</v>
      </c>
    </row>
    <row r="43" spans="1:5" ht="30" x14ac:dyDescent="0.25">
      <c r="A43" s="308" t="s">
        <v>480</v>
      </c>
      <c r="B43" s="308" t="s">
        <v>480</v>
      </c>
      <c r="C43" t="s">
        <v>483</v>
      </c>
      <c r="D43" s="308" t="s">
        <v>484</v>
      </c>
      <c r="E43" s="312">
        <f>64*365</f>
        <v>23360</v>
      </c>
    </row>
    <row r="44" spans="1:5" ht="30" x14ac:dyDescent="0.25">
      <c r="B44" s="308" t="s">
        <v>481</v>
      </c>
      <c r="C44" t="s">
        <v>482</v>
      </c>
      <c r="D44" s="308" t="s">
        <v>484</v>
      </c>
      <c r="E44" s="312">
        <f>64*365</f>
        <v>23360</v>
      </c>
    </row>
    <row r="45" spans="1:5" ht="60" x14ac:dyDescent="0.25">
      <c r="A45" s="308" t="s">
        <v>489</v>
      </c>
      <c r="B45" s="308" t="s">
        <v>490</v>
      </c>
      <c r="C45" t="s">
        <v>491</v>
      </c>
      <c r="D45" s="308" t="s">
        <v>479</v>
      </c>
      <c r="E45" s="312">
        <f>4*100</f>
        <v>400</v>
      </c>
    </row>
    <row r="46" spans="1:5" ht="60" x14ac:dyDescent="0.25">
      <c r="B46" s="308" t="s">
        <v>492</v>
      </c>
      <c r="C46" t="s">
        <v>493</v>
      </c>
      <c r="D46" s="308" t="s">
        <v>479</v>
      </c>
      <c r="E46" s="312">
        <f>4*100</f>
        <v>400</v>
      </c>
    </row>
    <row r="47" spans="1:5" ht="60" x14ac:dyDescent="0.25">
      <c r="B47" s="308" t="s">
        <v>494</v>
      </c>
      <c r="C47" t="s">
        <v>495</v>
      </c>
      <c r="D47" s="308" t="s">
        <v>403</v>
      </c>
      <c r="E47" s="312">
        <f>16*25</f>
        <v>400</v>
      </c>
    </row>
    <row r="48" spans="1:5" ht="60" x14ac:dyDescent="0.25">
      <c r="B48" s="308" t="s">
        <v>496</v>
      </c>
      <c r="C48" t="s">
        <v>497</v>
      </c>
      <c r="D48" s="308" t="s">
        <v>479</v>
      </c>
      <c r="E48" s="312">
        <f>4*100</f>
        <v>400</v>
      </c>
    </row>
    <row r="49" spans="2:5" ht="60" x14ac:dyDescent="0.25">
      <c r="B49" s="308" t="s">
        <v>498</v>
      </c>
      <c r="C49" t="s">
        <v>500</v>
      </c>
      <c r="D49" s="308" t="s">
        <v>479</v>
      </c>
      <c r="E49" s="312">
        <f t="shared" ref="E49:E50" si="2">4*100</f>
        <v>400</v>
      </c>
    </row>
    <row r="50" spans="2:5" ht="60" x14ac:dyDescent="0.25">
      <c r="B50" s="308" t="s">
        <v>499</v>
      </c>
      <c r="C50" t="s">
        <v>501</v>
      </c>
      <c r="D50" s="308" t="s">
        <v>479</v>
      </c>
      <c r="E50" s="312">
        <f t="shared" si="2"/>
        <v>400</v>
      </c>
    </row>
  </sheetData>
  <customSheetViews>
    <customSheetView guid="{B6305DA3-A032-4F38-BA31-37F5B3FAC8B9}" topLeftCell="A49">
      <selection activeCell="E50" sqref="E50"/>
      <pageMargins left="0.7" right="0.7" top="0.75" bottom="0.75" header="0.3" footer="0.3"/>
      <pageSetup orientation="landscape" verticalDpi="0" r:id="rId1"/>
    </customSheetView>
    <customSheetView guid="{BE213145-94B6-4D67-83E8-F1C2631C8B17}" topLeftCell="A49">
      <selection activeCell="E50" sqref="E50"/>
      <pageMargins left="0.7" right="0.7" top="0.75" bottom="0.75" header="0.3" footer="0.3"/>
      <pageSetup orientation="landscape" verticalDpi="0" r:id="rId2"/>
    </customSheetView>
  </customSheetViews>
  <pageMargins left="0.7" right="0.7" top="0.75" bottom="0.75" header="0.3" footer="0.3"/>
  <pageSetup orientation="landscape"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12</vt:i4>
      </vt:variant>
      <vt:variant>
        <vt:lpstr>Charts</vt:lpstr>
      </vt:variant>
      <vt:variant>
        <vt:i4>1</vt:i4>
      </vt:variant>
      <vt:variant>
        <vt:lpstr>Named Ranges</vt:lpstr>
      </vt:variant>
      <vt:variant>
        <vt:i4>8</vt:i4>
      </vt:variant>
    </vt:vector>
  </HeadingPairs>
  <TitlesOfParts>
    <vt:vector size="21" baseType="lpstr">
      <vt:lpstr>Appendix J-1</vt:lpstr>
      <vt:lpstr>Appendix J-2</vt:lpstr>
      <vt:lpstr>linked - DO NOT USE or DELETE</vt:lpstr>
      <vt:lpstr>Factor D Back Up</vt:lpstr>
      <vt:lpstr>Non Factor D Back Up</vt:lpstr>
      <vt:lpstr>DDS Rates for Amend</vt:lpstr>
      <vt:lpstr>Rates</vt:lpstr>
      <vt:lpstr>CPI Rates</vt:lpstr>
      <vt:lpstr>Service Limitations</vt:lpstr>
      <vt:lpstr>Service Detail</vt:lpstr>
      <vt:lpstr>DDS Rate Table</vt:lpstr>
      <vt:lpstr>Aggregate Change</vt:lpstr>
      <vt:lpstr>Factors D and G Prime</vt:lpstr>
      <vt:lpstr>'Appendix J-2'!Print_Area</vt:lpstr>
      <vt:lpstr>'Factor D Back Up'!Print_Area</vt:lpstr>
      <vt:lpstr>'Non Factor D Back Up'!Print_Area</vt:lpstr>
      <vt:lpstr>Rates!Print_Area</vt:lpstr>
      <vt:lpstr>'Appendix J-2'!Print_Titles</vt:lpstr>
      <vt:lpstr>'DDS Rates for Amend'!Print_Titles</vt:lpstr>
      <vt:lpstr>'linked - DO NOT USE or DELETE'!Print_Titles</vt:lpstr>
      <vt:lpstr>Rates!Print_Titles</vt:lpstr>
    </vt:vector>
  </TitlesOfParts>
  <Company>DC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Simms</dc:creator>
  <cp:lastModifiedBy>Morris, Thomas (DDS)</cp:lastModifiedBy>
  <cp:lastPrinted>2017-04-20T21:23:51Z</cp:lastPrinted>
  <dcterms:created xsi:type="dcterms:W3CDTF">2011-05-20T21:01:58Z</dcterms:created>
  <dcterms:modified xsi:type="dcterms:W3CDTF">2017-04-21T13:02:05Z</dcterms:modified>
</cp:coreProperties>
</file>