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668" lockStructure="1"/>
  <bookViews>
    <workbookView xWindow="10650" yWindow="450" windowWidth="7575" windowHeight="12405" tabRatio="920" firstSheet="4" activeTab="12"/>
  </bookViews>
  <sheets>
    <sheet name="4 bed base " sheetId="1" r:id="rId1"/>
    <sheet name="6 bed base" sheetId="4" r:id="rId2"/>
    <sheet name="4 bed mod" sheetId="15" r:id="rId3"/>
    <sheet name="6 bed moderate" sheetId="5" r:id="rId4"/>
    <sheet name="4 bed enhanced mod" sheetId="7" r:id="rId5"/>
    <sheet name="6 bed enhanced mod" sheetId="6" r:id="rId6"/>
    <sheet name="4 bed intensive" sheetId="9" r:id="rId7"/>
    <sheet name="6 bed intensive" sheetId="8" r:id="rId8"/>
    <sheet name="RH intensive 24 LPN" sheetId="11" r:id="rId9"/>
    <sheet name="SL Basic 3" sheetId="10" r:id="rId10"/>
    <sheet name="SL mod 3" sheetId="17" r:id="rId11"/>
    <sheet name="Model 4.6.12" sheetId="13" r:id="rId12"/>
    <sheet name="Hourly" sheetId="14" r:id="rId13"/>
    <sheet name="SL int 3" sheetId="16" r:id="rId14"/>
    <sheet name="SL Basic 2" sheetId="19" r:id="rId15"/>
    <sheet name="SL mod (2)" sheetId="20" r:id="rId16"/>
    <sheet name="SL int (2)" sheetId="21" r:id="rId17"/>
    <sheet name="one to one" sheetId="18" r:id="rId18"/>
  </sheets>
  <definedNames>
    <definedName name="_xlnm.Print_Area" localSheetId="12">Hourly!$A$1:$K$21</definedName>
    <definedName name="_xlnm.Print_Area" localSheetId="11">'Model 4.6.12'!$A$1:$N$57</definedName>
  </definedNames>
  <calcPr calcId="145621"/>
</workbook>
</file>

<file path=xl/calcChain.xml><?xml version="1.0" encoding="utf-8"?>
<calcChain xmlns="http://schemas.openxmlformats.org/spreadsheetml/2006/main">
  <c r="M52" i="16" l="1"/>
  <c r="M17" i="16"/>
  <c r="M45" i="11"/>
  <c r="M20" i="11"/>
  <c r="M26" i="8"/>
  <c r="M14" i="1"/>
  <c r="Q8" i="18" l="1"/>
  <c r="S21" i="18" l="1"/>
  <c r="T21" i="18" s="1"/>
  <c r="S20" i="18"/>
  <c r="T20" i="18" s="1"/>
  <c r="S19" i="18"/>
  <c r="T19" i="18" s="1"/>
  <c r="S22" i="18"/>
  <c r="T22" i="18" s="1"/>
  <c r="R63" i="13"/>
  <c r="S63" i="13"/>
  <c r="T63" i="13"/>
  <c r="W63" i="13"/>
  <c r="R65" i="13"/>
  <c r="S65" i="13"/>
  <c r="T65" i="13"/>
  <c r="R67" i="13"/>
  <c r="S67" i="13" s="1"/>
  <c r="T67" i="13"/>
  <c r="R69" i="13"/>
  <c r="T69" i="13"/>
  <c r="R71" i="13"/>
  <c r="S71" i="13" s="1"/>
  <c r="T71" i="13"/>
  <c r="M48" i="13"/>
  <c r="M47" i="13"/>
  <c r="M24" i="13"/>
  <c r="M22" i="13"/>
  <c r="M20" i="13"/>
  <c r="M18" i="13"/>
  <c r="M16" i="13"/>
  <c r="M14" i="13"/>
  <c r="M12" i="13"/>
  <c r="M10" i="13"/>
  <c r="M8" i="13"/>
  <c r="F27" i="18"/>
  <c r="G13" i="21"/>
  <c r="G14" i="21"/>
  <c r="I14" i="21"/>
  <c r="I5" i="21"/>
  <c r="K5" i="21" s="1"/>
  <c r="M5" i="21" s="1"/>
  <c r="H5" i="21"/>
  <c r="G5" i="21"/>
  <c r="I32" i="16"/>
  <c r="K32" i="16" s="1"/>
  <c r="M32" i="16" s="1"/>
  <c r="G32" i="16"/>
  <c r="I24" i="16"/>
  <c r="H24" i="16"/>
  <c r="G24" i="16"/>
  <c r="L14" i="16"/>
  <c r="I14" i="16"/>
  <c r="G14" i="16"/>
  <c r="I6" i="16"/>
  <c r="K6" i="16" s="1"/>
  <c r="M6" i="16" s="1"/>
  <c r="G6" i="16"/>
  <c r="H6" i="16" s="1"/>
  <c r="G39" i="11"/>
  <c r="L39" i="11"/>
  <c r="I39" i="11"/>
  <c r="L41" i="11"/>
  <c r="F41" i="11"/>
  <c r="L29" i="11"/>
  <c r="I29" i="11"/>
  <c r="G29" i="11"/>
  <c r="H29" i="11" s="1"/>
  <c r="L28" i="11"/>
  <c r="E28" i="11"/>
  <c r="G28" i="11" s="1"/>
  <c r="L8" i="11"/>
  <c r="E8" i="11"/>
  <c r="G8" i="11" s="1"/>
  <c r="G22" i="8"/>
  <c r="G21" i="8"/>
  <c r="L22" i="8"/>
  <c r="I22" i="8"/>
  <c r="F22" i="8"/>
  <c r="L21" i="8"/>
  <c r="I21" i="8"/>
  <c r="F21" i="8"/>
  <c r="L9" i="8"/>
  <c r="I9" i="8"/>
  <c r="G9" i="8"/>
  <c r="H9" i="8" s="1"/>
  <c r="L8" i="8"/>
  <c r="I8" i="8"/>
  <c r="G8" i="8"/>
  <c r="L6" i="8"/>
  <c r="I6" i="8"/>
  <c r="G6" i="8"/>
  <c r="H6" i="8" s="1"/>
  <c r="L18" i="9"/>
  <c r="I18" i="9"/>
  <c r="F18" i="9"/>
  <c r="G18" i="9" s="1"/>
  <c r="L8" i="9"/>
  <c r="I8" i="9"/>
  <c r="G8" i="9"/>
  <c r="E8" i="9"/>
  <c r="G18" i="6"/>
  <c r="G17" i="6"/>
  <c r="L8" i="6"/>
  <c r="I8" i="6"/>
  <c r="G8" i="6"/>
  <c r="E8" i="6"/>
  <c r="L7" i="6"/>
  <c r="I7" i="6"/>
  <c r="E7" i="6"/>
  <c r="G7" i="6" s="1"/>
  <c r="L14" i="7"/>
  <c r="I14" i="7"/>
  <c r="F14" i="7"/>
  <c r="G14" i="7" s="1"/>
  <c r="L6" i="7"/>
  <c r="I6" i="7"/>
  <c r="G6" i="7"/>
  <c r="L13" i="5"/>
  <c r="I13" i="5"/>
  <c r="F13" i="5"/>
  <c r="G13" i="5" s="1"/>
  <c r="L6" i="5"/>
  <c r="I6" i="5"/>
  <c r="G6" i="5"/>
  <c r="L14" i="15"/>
  <c r="I14" i="15"/>
  <c r="F14" i="15"/>
  <c r="G14" i="15" s="1"/>
  <c r="I6" i="15"/>
  <c r="K6" i="15" s="1"/>
  <c r="M6" i="15" s="1"/>
  <c r="G6" i="15"/>
  <c r="H6" i="15" s="1"/>
  <c r="L35" i="11"/>
  <c r="L37" i="11"/>
  <c r="I37" i="11"/>
  <c r="L36" i="11"/>
  <c r="I36" i="11"/>
  <c r="I35" i="11"/>
  <c r="L27" i="11"/>
  <c r="I27" i="11"/>
  <c r="G27" i="11"/>
  <c r="H27" i="11" s="1"/>
  <c r="G38" i="11" s="1"/>
  <c r="L26" i="11"/>
  <c r="I26" i="11"/>
  <c r="G26" i="11"/>
  <c r="L17" i="11"/>
  <c r="I17" i="11"/>
  <c r="G17" i="11"/>
  <c r="L16" i="11"/>
  <c r="I16" i="11"/>
  <c r="L6" i="11"/>
  <c r="I6" i="11"/>
  <c r="G6" i="11"/>
  <c r="H6" i="11" s="1"/>
  <c r="G16" i="11" s="1"/>
  <c r="L20" i="8"/>
  <c r="I20" i="8"/>
  <c r="F20" i="8"/>
  <c r="L10" i="8"/>
  <c r="I10" i="8"/>
  <c r="G10" i="8"/>
  <c r="H10" i="8" s="1"/>
  <c r="G20" i="8" s="1"/>
  <c r="L7" i="8"/>
  <c r="I7" i="8"/>
  <c r="G7" i="8"/>
  <c r="L17" i="9"/>
  <c r="I17" i="9"/>
  <c r="F17" i="9"/>
  <c r="L16" i="9"/>
  <c r="I16" i="9"/>
  <c r="F16" i="9"/>
  <c r="L7" i="9"/>
  <c r="I7" i="9"/>
  <c r="E7" i="9"/>
  <c r="G7" i="9" s="1"/>
  <c r="L6" i="9"/>
  <c r="I6" i="9"/>
  <c r="E6" i="9"/>
  <c r="G6" i="9" s="1"/>
  <c r="L6" i="6"/>
  <c r="I6" i="6"/>
  <c r="E6" i="6"/>
  <c r="G6" i="6" s="1"/>
  <c r="L13" i="7"/>
  <c r="I13" i="7"/>
  <c r="F13" i="7"/>
  <c r="G13" i="7" s="1"/>
  <c r="L5" i="7"/>
  <c r="I5" i="7"/>
  <c r="K5" i="7" s="1"/>
  <c r="M5" i="7" s="1"/>
  <c r="H5" i="7"/>
  <c r="G5" i="7"/>
  <c r="L5" i="5"/>
  <c r="I5" i="5"/>
  <c r="G5" i="5"/>
  <c r="K14" i="21" l="1"/>
  <c r="M14" i="21" s="1"/>
  <c r="K13" i="7"/>
  <c r="K8" i="6"/>
  <c r="M8" i="6" s="1"/>
  <c r="K22" i="8"/>
  <c r="K39" i="11"/>
  <c r="K5" i="5"/>
  <c r="K14" i="15"/>
  <c r="M14" i="15" s="1"/>
  <c r="K14" i="7"/>
  <c r="M14" i="7" s="1"/>
  <c r="K18" i="9"/>
  <c r="M18" i="9" s="1"/>
  <c r="V69" i="13"/>
  <c r="X69" i="13" s="1"/>
  <c r="X70" i="13" s="1"/>
  <c r="K8" i="9"/>
  <c r="M8" i="9" s="1"/>
  <c r="V65" i="13"/>
  <c r="X65" i="13" s="1"/>
  <c r="X66" i="13" s="1"/>
  <c r="V63" i="13"/>
  <c r="X63" i="13" s="1"/>
  <c r="X64" i="13" s="1"/>
  <c r="S69" i="13"/>
  <c r="V71" i="13"/>
  <c r="X71" i="13" s="1"/>
  <c r="X72" i="13" s="1"/>
  <c r="V67" i="13"/>
  <c r="X67" i="13" s="1"/>
  <c r="X68" i="13" s="1"/>
  <c r="K13" i="5"/>
  <c r="M13" i="5" s="1"/>
  <c r="K24" i="16"/>
  <c r="M24" i="16" s="1"/>
  <c r="K14" i="16"/>
  <c r="M14" i="16" s="1"/>
  <c r="M39" i="11"/>
  <c r="K16" i="11"/>
  <c r="M16" i="11" s="1"/>
  <c r="K26" i="11"/>
  <c r="M26" i="11" s="1"/>
  <c r="K29" i="11"/>
  <c r="M29" i="11" s="1"/>
  <c r="K28" i="11"/>
  <c r="M28" i="11" s="1"/>
  <c r="H28" i="11"/>
  <c r="G41" i="11" s="1"/>
  <c r="K8" i="11"/>
  <c r="M8" i="11" s="1"/>
  <c r="H8" i="11"/>
  <c r="M22" i="8"/>
  <c r="K21" i="8"/>
  <c r="M21" i="8" s="1"/>
  <c r="K8" i="8"/>
  <c r="M8" i="8" s="1"/>
  <c r="H8" i="8"/>
  <c r="K9" i="8"/>
  <c r="M9" i="8" s="1"/>
  <c r="K6" i="8"/>
  <c r="M6" i="8" s="1"/>
  <c r="K7" i="8"/>
  <c r="M7" i="8" s="1"/>
  <c r="H8" i="9"/>
  <c r="H7" i="6"/>
  <c r="K7" i="6"/>
  <c r="M7" i="6" s="1"/>
  <c r="H8" i="6"/>
  <c r="K6" i="7"/>
  <c r="M6" i="7" s="1"/>
  <c r="H6" i="7"/>
  <c r="M13" i="7"/>
  <c r="K6" i="5"/>
  <c r="M6" i="5" s="1"/>
  <c r="H6" i="5"/>
  <c r="M5" i="5"/>
  <c r="K27" i="11"/>
  <c r="M27" i="11" s="1"/>
  <c r="H26" i="11"/>
  <c r="G37" i="11" s="1"/>
  <c r="K17" i="11"/>
  <c r="M17" i="11" s="1"/>
  <c r="K6" i="11"/>
  <c r="M6" i="11" s="1"/>
  <c r="K10" i="8"/>
  <c r="M10" i="8" s="1"/>
  <c r="H7" i="8"/>
  <c r="G19" i="8" s="1"/>
  <c r="K7" i="9"/>
  <c r="M7" i="9" s="1"/>
  <c r="H6" i="9"/>
  <c r="G16" i="9" s="1"/>
  <c r="K16" i="9" s="1"/>
  <c r="M16" i="9" s="1"/>
  <c r="K6" i="9"/>
  <c r="M6" i="9" s="1"/>
  <c r="H7" i="9"/>
  <c r="G17" i="9" s="1"/>
  <c r="K17" i="9" s="1"/>
  <c r="M17" i="9" s="1"/>
  <c r="H6" i="6"/>
  <c r="G16" i="6" s="1"/>
  <c r="K6" i="6"/>
  <c r="M6" i="6" s="1"/>
  <c r="H5" i="5"/>
  <c r="L14" i="4" l="1"/>
  <c r="I14" i="4"/>
  <c r="F14" i="4"/>
  <c r="G6" i="4"/>
  <c r="H6" i="4" s="1"/>
  <c r="G14" i="4" l="1"/>
  <c r="K14" i="4" s="1"/>
  <c r="M14" i="4" s="1"/>
  <c r="K6" i="4"/>
  <c r="M6" i="4" s="1"/>
  <c r="L13" i="15"/>
  <c r="I13" i="15"/>
  <c r="G13" i="15"/>
  <c r="F13" i="15"/>
  <c r="I5" i="15"/>
  <c r="K5" i="15" s="1"/>
  <c r="M5" i="15" s="1"/>
  <c r="H5" i="15"/>
  <c r="G5" i="15"/>
  <c r="L13" i="4"/>
  <c r="I13" i="4"/>
  <c r="F13" i="4"/>
  <c r="G13" i="4" s="1"/>
  <c r="K13" i="4" s="1"/>
  <c r="M5" i="4"/>
  <c r="K5" i="4"/>
  <c r="H5" i="4"/>
  <c r="G5" i="4"/>
  <c r="K13" i="15" l="1"/>
  <c r="M13" i="15" s="1"/>
  <c r="M13" i="4"/>
  <c r="C6" i="14" l="1"/>
  <c r="C7" i="14" s="1"/>
  <c r="C9" i="14" s="1"/>
  <c r="C11" i="14" s="1"/>
  <c r="C15" i="14" s="1"/>
  <c r="C17" i="14" s="1"/>
  <c r="L6" i="14" l="1"/>
  <c r="L7" i="14" s="1"/>
  <c r="L9" i="14" s="1"/>
  <c r="L10" i="14" l="1"/>
  <c r="L11" i="14"/>
  <c r="L15" i="14" s="1"/>
  <c r="L17" i="14" s="1"/>
  <c r="M17" i="14" l="1"/>
  <c r="L18" i="14"/>
  <c r="B4" i="14" l="1"/>
  <c r="I4" i="14"/>
  <c r="I18" i="18"/>
  <c r="I3" i="18"/>
  <c r="I6" i="14" l="1"/>
  <c r="I7" i="14" s="1"/>
  <c r="I9" i="14" s="1"/>
  <c r="I10" i="14" s="1"/>
  <c r="I11" i="14" s="1"/>
  <c r="I15" i="14" s="1"/>
  <c r="I17" i="14" s="1"/>
  <c r="Q3" i="18" l="1"/>
  <c r="J4" i="14" l="1"/>
  <c r="K4" i="14"/>
  <c r="I10" i="1"/>
  <c r="I9" i="1"/>
  <c r="I4" i="1"/>
  <c r="I3" i="1"/>
  <c r="I12" i="4"/>
  <c r="I11" i="4"/>
  <c r="I4" i="4"/>
  <c r="I3" i="4"/>
  <c r="I12" i="15"/>
  <c r="I11" i="15"/>
  <c r="I4" i="15"/>
  <c r="I3" i="15"/>
  <c r="I14" i="5" l="1"/>
  <c r="I12" i="5"/>
  <c r="I11" i="5"/>
  <c r="I4" i="5"/>
  <c r="I3" i="5"/>
  <c r="I12" i="7"/>
  <c r="I11" i="7"/>
  <c r="I4" i="7"/>
  <c r="I3" i="7"/>
  <c r="I15" i="6"/>
  <c r="I14" i="6"/>
  <c r="I13" i="6"/>
  <c r="I5" i="6"/>
  <c r="I4" i="6"/>
  <c r="I3" i="6"/>
  <c r="I15" i="9"/>
  <c r="I14" i="9"/>
  <c r="I13" i="9"/>
  <c r="I5" i="9"/>
  <c r="I4" i="9"/>
  <c r="I3" i="9"/>
  <c r="I19" i="8"/>
  <c r="I18" i="8"/>
  <c r="I17" i="8"/>
  <c r="I16" i="8"/>
  <c r="I5" i="8"/>
  <c r="I4" i="8"/>
  <c r="I3" i="8"/>
  <c r="I38" i="11"/>
  <c r="I34" i="11"/>
  <c r="I25" i="11"/>
  <c r="I24" i="11"/>
  <c r="I22" i="11"/>
  <c r="I15" i="11"/>
  <c r="I13" i="11"/>
  <c r="I5" i="11"/>
  <c r="I3" i="11"/>
  <c r="I25" i="10"/>
  <c r="I24" i="10"/>
  <c r="I18" i="10"/>
  <c r="I17" i="10"/>
  <c r="I10" i="10"/>
  <c r="I9" i="10"/>
  <c r="I4" i="10"/>
  <c r="I3" i="10"/>
  <c r="I29" i="17"/>
  <c r="I28" i="17"/>
  <c r="I27" i="17"/>
  <c r="I21" i="17"/>
  <c r="I20" i="17"/>
  <c r="I19" i="17"/>
  <c r="I12" i="17"/>
  <c r="I11" i="17"/>
  <c r="I10" i="17"/>
  <c r="I4" i="17"/>
  <c r="I5" i="17"/>
  <c r="I3" i="17"/>
  <c r="I13" i="16"/>
  <c r="I12" i="16"/>
  <c r="I11" i="16"/>
  <c r="I5" i="16"/>
  <c r="I4" i="16"/>
  <c r="I3" i="16"/>
  <c r="H4" i="14"/>
  <c r="F4" i="14"/>
  <c r="E4" i="14"/>
  <c r="I48" i="16"/>
  <c r="I47" i="16"/>
  <c r="I41" i="16"/>
  <c r="I40" i="16"/>
  <c r="I31" i="16"/>
  <c r="I30" i="16"/>
  <c r="I29" i="16"/>
  <c r="I23" i="16"/>
  <c r="I22" i="16"/>
  <c r="I21" i="16"/>
  <c r="I25" i="19"/>
  <c r="I24" i="19"/>
  <c r="I18" i="19"/>
  <c r="I17" i="19"/>
  <c r="I10" i="19"/>
  <c r="I9" i="19"/>
  <c r="I4" i="19"/>
  <c r="I3" i="19"/>
  <c r="I21" i="20"/>
  <c r="I28" i="20"/>
  <c r="I27" i="20"/>
  <c r="I26" i="20"/>
  <c r="I20" i="20"/>
  <c r="I19" i="20"/>
  <c r="I12" i="20"/>
  <c r="I11" i="20"/>
  <c r="I10" i="20"/>
  <c r="I3" i="20"/>
  <c r="I5" i="20"/>
  <c r="I4" i="20"/>
  <c r="I13" i="21"/>
  <c r="I12" i="21"/>
  <c r="I11" i="21"/>
  <c r="I6" i="21"/>
  <c r="I4" i="21"/>
  <c r="I3" i="21"/>
  <c r="I26" i="18"/>
  <c r="I25" i="18"/>
  <c r="I19" i="18"/>
  <c r="I4" i="18"/>
  <c r="I9" i="18"/>
  <c r="I10" i="18"/>
  <c r="K8" i="7" l="1"/>
  <c r="K15" i="7"/>
  <c r="D6" i="14"/>
  <c r="G27" i="19" l="1"/>
  <c r="G26" i="19"/>
  <c r="G25" i="19"/>
  <c r="G11" i="19"/>
  <c r="G9" i="19"/>
  <c r="G47" i="16"/>
  <c r="G19" i="6" l="1"/>
  <c r="G15" i="5"/>
  <c r="G15" i="7"/>
  <c r="G15" i="15"/>
  <c r="G11" i="1"/>
  <c r="G9" i="1"/>
  <c r="G20" i="18" l="1"/>
  <c r="K20" i="18" s="1"/>
  <c r="M20" i="18" s="1"/>
  <c r="F28" i="18"/>
  <c r="F26" i="18"/>
  <c r="F25" i="18"/>
  <c r="L24" i="18"/>
  <c r="K24" i="18"/>
  <c r="H24" i="18"/>
  <c r="L23" i="18"/>
  <c r="K23" i="18"/>
  <c r="H23" i="18"/>
  <c r="L22" i="18"/>
  <c r="K22" i="18"/>
  <c r="H22" i="18"/>
  <c r="G21" i="18"/>
  <c r="K21" i="18" s="1"/>
  <c r="M21" i="18" s="1"/>
  <c r="G19" i="18"/>
  <c r="K19" i="18" s="1"/>
  <c r="M19" i="18" s="1"/>
  <c r="G18" i="18"/>
  <c r="K18" i="18" s="1"/>
  <c r="M18" i="18" s="1"/>
  <c r="L50" i="16"/>
  <c r="F50" i="16"/>
  <c r="L48" i="16"/>
  <c r="F48" i="16"/>
  <c r="L47" i="16"/>
  <c r="F47" i="16"/>
  <c r="L46" i="16"/>
  <c r="K46" i="16"/>
  <c r="M46" i="16" s="1"/>
  <c r="H46" i="16"/>
  <c r="L45" i="16"/>
  <c r="K45" i="16"/>
  <c r="H45" i="16"/>
  <c r="L44" i="16"/>
  <c r="K44" i="16"/>
  <c r="M44" i="16" s="1"/>
  <c r="H44" i="16"/>
  <c r="L43" i="16"/>
  <c r="G43" i="16"/>
  <c r="K43" i="16" s="1"/>
  <c r="G42" i="16"/>
  <c r="K42" i="16" s="1"/>
  <c r="M42" i="16" s="1"/>
  <c r="L41" i="16"/>
  <c r="G41" i="16"/>
  <c r="H41" i="16" s="1"/>
  <c r="L40" i="16"/>
  <c r="H40" i="16"/>
  <c r="K47" i="16" s="1"/>
  <c r="M47" i="16" s="1"/>
  <c r="G40" i="16"/>
  <c r="K40" i="16" s="1"/>
  <c r="L25" i="11"/>
  <c r="G25" i="11"/>
  <c r="K25" i="11" s="1"/>
  <c r="L42" i="11"/>
  <c r="L40" i="11"/>
  <c r="L38" i="11"/>
  <c r="L34" i="11"/>
  <c r="L30" i="11"/>
  <c r="L24" i="11"/>
  <c r="L23" i="11"/>
  <c r="L22" i="11"/>
  <c r="L18" i="11"/>
  <c r="L15" i="11"/>
  <c r="L14" i="11"/>
  <c r="L13" i="11"/>
  <c r="L9" i="11"/>
  <c r="L5" i="11"/>
  <c r="L4" i="11"/>
  <c r="L3" i="11"/>
  <c r="F11" i="18"/>
  <c r="F10" i="18"/>
  <c r="F9" i="18"/>
  <c r="L8" i="18"/>
  <c r="K8" i="18"/>
  <c r="H8" i="18"/>
  <c r="L7" i="18"/>
  <c r="K7" i="18"/>
  <c r="H7" i="18"/>
  <c r="L6" i="18"/>
  <c r="K6" i="18"/>
  <c r="H6" i="18"/>
  <c r="G5" i="18"/>
  <c r="K5" i="18" s="1"/>
  <c r="G4" i="18"/>
  <c r="K4" i="18" s="1"/>
  <c r="G3" i="18"/>
  <c r="K3" i="18" s="1"/>
  <c r="M3" i="18" s="1"/>
  <c r="F15" i="21"/>
  <c r="F12" i="21"/>
  <c r="F11" i="21"/>
  <c r="L10" i="21"/>
  <c r="K10" i="21"/>
  <c r="H10" i="21"/>
  <c r="L9" i="21"/>
  <c r="K9" i="21"/>
  <c r="M9" i="21" s="1"/>
  <c r="H9" i="21"/>
  <c r="L8" i="21"/>
  <c r="K8" i="21"/>
  <c r="H8" i="21"/>
  <c r="G7" i="21"/>
  <c r="H7" i="21" s="1"/>
  <c r="G6" i="21"/>
  <c r="H6" i="21" s="1"/>
  <c r="G4" i="21"/>
  <c r="K4" i="21" s="1"/>
  <c r="G3" i="21"/>
  <c r="H3" i="21" s="1"/>
  <c r="F29" i="20"/>
  <c r="F27" i="20"/>
  <c r="F26" i="20"/>
  <c r="L25" i="20"/>
  <c r="K25" i="20"/>
  <c r="H25" i="20"/>
  <c r="L24" i="20"/>
  <c r="K24" i="20"/>
  <c r="H24" i="20"/>
  <c r="L23" i="20"/>
  <c r="K23" i="20"/>
  <c r="H23" i="20"/>
  <c r="L22" i="20"/>
  <c r="G22" i="20"/>
  <c r="H22" i="20" s="1"/>
  <c r="G21" i="20"/>
  <c r="H21" i="20" s="1"/>
  <c r="G20" i="20"/>
  <c r="K20" i="20" s="1"/>
  <c r="G19" i="20"/>
  <c r="H19" i="20" s="1"/>
  <c r="F13" i="20"/>
  <c r="F11" i="20"/>
  <c r="F10" i="20"/>
  <c r="L9" i="20"/>
  <c r="K9" i="20"/>
  <c r="M9" i="20" s="1"/>
  <c r="H9" i="20"/>
  <c r="L8" i="20"/>
  <c r="K8" i="20"/>
  <c r="H8" i="20"/>
  <c r="L7" i="20"/>
  <c r="K7" i="20"/>
  <c r="H7" i="20"/>
  <c r="G6" i="20"/>
  <c r="K6" i="20" s="1"/>
  <c r="G5" i="20"/>
  <c r="K5" i="20" s="1"/>
  <c r="M5" i="20" s="1"/>
  <c r="G4" i="20"/>
  <c r="H4" i="20" s="1"/>
  <c r="G3" i="20"/>
  <c r="K3" i="20" s="1"/>
  <c r="F27" i="19"/>
  <c r="F25" i="19"/>
  <c r="L23" i="19"/>
  <c r="K23" i="19"/>
  <c r="H23" i="19"/>
  <c r="L22" i="19"/>
  <c r="K22" i="19"/>
  <c r="M22" i="19" s="1"/>
  <c r="H22" i="19"/>
  <c r="L21" i="19"/>
  <c r="K21" i="19"/>
  <c r="H21" i="19"/>
  <c r="G20" i="19"/>
  <c r="H20" i="19" s="1"/>
  <c r="K27" i="19" s="1"/>
  <c r="K19" i="19"/>
  <c r="M19" i="19" s="1"/>
  <c r="H19" i="19"/>
  <c r="K26" i="19" s="1"/>
  <c r="G18" i="19"/>
  <c r="K18" i="19" s="1"/>
  <c r="G17" i="19"/>
  <c r="H17" i="19" s="1"/>
  <c r="F11" i="19"/>
  <c r="K8" i="19"/>
  <c r="H8" i="19"/>
  <c r="K7" i="19"/>
  <c r="M7" i="19" s="1"/>
  <c r="H7" i="19"/>
  <c r="K6" i="19"/>
  <c r="M6" i="19" s="1"/>
  <c r="H6" i="19"/>
  <c r="G5" i="19"/>
  <c r="H5" i="19" s="1"/>
  <c r="K11" i="19" s="1"/>
  <c r="G4" i="19"/>
  <c r="K4" i="19" s="1"/>
  <c r="G3" i="19"/>
  <c r="H3" i="19" s="1"/>
  <c r="K9" i="19" s="1"/>
  <c r="M9" i="19" s="1"/>
  <c r="E48" i="13"/>
  <c r="E47" i="13"/>
  <c r="L33" i="16"/>
  <c r="F33" i="16"/>
  <c r="L30" i="16"/>
  <c r="F30" i="16"/>
  <c r="L29" i="16"/>
  <c r="F29" i="16"/>
  <c r="L28" i="16"/>
  <c r="K28" i="16"/>
  <c r="H28" i="16"/>
  <c r="L27" i="16"/>
  <c r="K27" i="16"/>
  <c r="M27" i="16" s="1"/>
  <c r="H27" i="16"/>
  <c r="L26" i="16"/>
  <c r="K26" i="16"/>
  <c r="H26" i="16"/>
  <c r="L25" i="16"/>
  <c r="G25" i="16"/>
  <c r="H25" i="16" s="1"/>
  <c r="G23" i="16"/>
  <c r="H23" i="16" s="1"/>
  <c r="L22" i="16"/>
  <c r="G22" i="16"/>
  <c r="K22" i="16" s="1"/>
  <c r="L21" i="16"/>
  <c r="G21" i="16"/>
  <c r="H21" i="16" s="1"/>
  <c r="L15" i="16"/>
  <c r="F15" i="16"/>
  <c r="L13" i="16"/>
  <c r="L12" i="16"/>
  <c r="F12" i="16"/>
  <c r="L11" i="16"/>
  <c r="F11" i="16"/>
  <c r="L10" i="16"/>
  <c r="K10" i="16"/>
  <c r="M10" i="16" s="1"/>
  <c r="H10" i="16"/>
  <c r="L9" i="16"/>
  <c r="K9" i="16"/>
  <c r="H9" i="16"/>
  <c r="L8" i="16"/>
  <c r="K8" i="16"/>
  <c r="H8" i="16"/>
  <c r="L7" i="16"/>
  <c r="H7" i="16"/>
  <c r="G7" i="16"/>
  <c r="K7" i="16" s="1"/>
  <c r="G5" i="16"/>
  <c r="K5" i="16" s="1"/>
  <c r="M5" i="16" s="1"/>
  <c r="L4" i="16"/>
  <c r="G4" i="16"/>
  <c r="H4" i="16" s="1"/>
  <c r="L3" i="16"/>
  <c r="G3" i="16"/>
  <c r="K3" i="16" s="1"/>
  <c r="G21" i="17"/>
  <c r="K21" i="17" s="1"/>
  <c r="M21" i="17" s="1"/>
  <c r="L12" i="17"/>
  <c r="G5" i="17"/>
  <c r="K5" i="17" s="1"/>
  <c r="M5" i="17" s="1"/>
  <c r="L31" i="17"/>
  <c r="F31" i="17"/>
  <c r="L30" i="17"/>
  <c r="L28" i="17"/>
  <c r="F28" i="17"/>
  <c r="L27" i="17"/>
  <c r="F27" i="17"/>
  <c r="L26" i="17"/>
  <c r="K26" i="17"/>
  <c r="H26" i="17"/>
  <c r="L25" i="17"/>
  <c r="K25" i="17"/>
  <c r="H25" i="17"/>
  <c r="L24" i="17"/>
  <c r="K24" i="17"/>
  <c r="H24" i="17"/>
  <c r="G31" i="17" s="1"/>
  <c r="L23" i="17"/>
  <c r="G23" i="17"/>
  <c r="H23" i="17" s="1"/>
  <c r="L22" i="17"/>
  <c r="K22" i="17"/>
  <c r="H22" i="17"/>
  <c r="L20" i="17"/>
  <c r="G20" i="17"/>
  <c r="K20" i="17" s="1"/>
  <c r="L19" i="17"/>
  <c r="G19" i="17"/>
  <c r="H19" i="17" s="1"/>
  <c r="L13" i="17"/>
  <c r="F13" i="17"/>
  <c r="L11" i="17"/>
  <c r="F11" i="17"/>
  <c r="L10" i="17"/>
  <c r="F10" i="17"/>
  <c r="L9" i="17"/>
  <c r="K9" i="17"/>
  <c r="H9" i="17"/>
  <c r="L8" i="17"/>
  <c r="K8" i="17"/>
  <c r="H8" i="17"/>
  <c r="L7" i="17"/>
  <c r="K7" i="17"/>
  <c r="H7" i="17"/>
  <c r="L6" i="17"/>
  <c r="G6" i="17"/>
  <c r="H6" i="17" s="1"/>
  <c r="L4" i="17"/>
  <c r="G4" i="17"/>
  <c r="K4" i="17" s="1"/>
  <c r="L3" i="17"/>
  <c r="G3" i="17"/>
  <c r="H3" i="17" s="1"/>
  <c r="L26" i="10"/>
  <c r="L19" i="10"/>
  <c r="K19" i="10"/>
  <c r="M19" i="10" s="1"/>
  <c r="H19" i="10"/>
  <c r="L27" i="10"/>
  <c r="F27" i="10"/>
  <c r="L25" i="10"/>
  <c r="F25" i="10"/>
  <c r="L24" i="10"/>
  <c r="L23" i="10"/>
  <c r="K23" i="10"/>
  <c r="M23" i="10" s="1"/>
  <c r="H23" i="10"/>
  <c r="L22" i="10"/>
  <c r="K22" i="10"/>
  <c r="H22" i="10"/>
  <c r="L21" i="10"/>
  <c r="K21" i="10"/>
  <c r="H21" i="10"/>
  <c r="L20" i="10"/>
  <c r="G20" i="10"/>
  <c r="K20" i="10" s="1"/>
  <c r="L18" i="10"/>
  <c r="G18" i="10"/>
  <c r="H18" i="10" s="1"/>
  <c r="L17" i="10"/>
  <c r="G17" i="10"/>
  <c r="K17" i="10" s="1"/>
  <c r="F42" i="11"/>
  <c r="F40" i="11"/>
  <c r="F34" i="11"/>
  <c r="L33" i="11"/>
  <c r="K33" i="11"/>
  <c r="H33" i="11"/>
  <c r="L32" i="11"/>
  <c r="K32" i="11"/>
  <c r="H32" i="11"/>
  <c r="L31" i="11"/>
  <c r="K31" i="11"/>
  <c r="H31" i="11"/>
  <c r="G30" i="11"/>
  <c r="K30" i="11" s="1"/>
  <c r="E24" i="11"/>
  <c r="G24" i="11" s="1"/>
  <c r="K24" i="11" s="1"/>
  <c r="E23" i="11"/>
  <c r="G23" i="11" s="1"/>
  <c r="K23" i="11" s="1"/>
  <c r="E22" i="11"/>
  <c r="G22" i="11" s="1"/>
  <c r="K22" i="11" s="1"/>
  <c r="F18" i="11"/>
  <c r="F14" i="11"/>
  <c r="F13" i="11"/>
  <c r="L12" i="11"/>
  <c r="K12" i="11"/>
  <c r="H12" i="11"/>
  <c r="L11" i="11"/>
  <c r="K11" i="11"/>
  <c r="H11" i="11"/>
  <c r="L10" i="11"/>
  <c r="K10" i="11"/>
  <c r="H10" i="11"/>
  <c r="G9" i="11"/>
  <c r="G5" i="11"/>
  <c r="H5" i="11" s="1"/>
  <c r="E4" i="11"/>
  <c r="G4" i="11" s="1"/>
  <c r="E3" i="11"/>
  <c r="G3" i="11" s="1"/>
  <c r="K6" i="14"/>
  <c r="K7" i="14" s="1"/>
  <c r="K9" i="14" s="1"/>
  <c r="K10" i="14" s="1"/>
  <c r="K11" i="14" s="1"/>
  <c r="K15" i="14" s="1"/>
  <c r="J6" i="14"/>
  <c r="J7" i="14" s="1"/>
  <c r="J9" i="14" s="1"/>
  <c r="J10" i="14" s="1"/>
  <c r="J11" i="14" s="1"/>
  <c r="H6" i="14"/>
  <c r="H7" i="14" s="1"/>
  <c r="H9" i="14" s="1"/>
  <c r="E40" i="14"/>
  <c r="E38" i="14"/>
  <c r="E37" i="14"/>
  <c r="D29" i="14"/>
  <c r="D40" i="14"/>
  <c r="B40" i="14"/>
  <c r="D37" i="14"/>
  <c r="B37" i="14"/>
  <c r="D38" i="14"/>
  <c r="J28" i="14"/>
  <c r="B38" i="14"/>
  <c r="F6" i="14"/>
  <c r="E6" i="14"/>
  <c r="D7" i="14"/>
  <c r="D9" i="14" s="1"/>
  <c r="B6" i="14"/>
  <c r="B7" i="14" s="1"/>
  <c r="L10" i="10"/>
  <c r="L4" i="10"/>
  <c r="G4" i="10"/>
  <c r="K4" i="10" s="1"/>
  <c r="L11" i="10"/>
  <c r="L9" i="10"/>
  <c r="L5" i="10"/>
  <c r="L3" i="10"/>
  <c r="L9" i="1"/>
  <c r="F9" i="1"/>
  <c r="H20" i="18" l="1"/>
  <c r="G27" i="18" s="1"/>
  <c r="K27" i="18" s="1"/>
  <c r="M27" i="18" s="1"/>
  <c r="G29" i="20"/>
  <c r="K29" i="20" s="1"/>
  <c r="M29" i="20" s="1"/>
  <c r="G26" i="20"/>
  <c r="K26" i="20" s="1"/>
  <c r="M26" i="20" s="1"/>
  <c r="E7" i="14"/>
  <c r="E9" i="14" s="1"/>
  <c r="E11" i="14" s="1"/>
  <c r="E14" i="14" s="1"/>
  <c r="E15" i="14" s="1"/>
  <c r="E17" i="14" s="1"/>
  <c r="F7" i="14"/>
  <c r="F9" i="14" s="1"/>
  <c r="F11" i="14" s="1"/>
  <c r="F15" i="14" s="1"/>
  <c r="F17" i="14" s="1"/>
  <c r="K13" i="21"/>
  <c r="M13" i="21" s="1"/>
  <c r="G15" i="21"/>
  <c r="K15" i="21" s="1"/>
  <c r="M15" i="21" s="1"/>
  <c r="G11" i="21"/>
  <c r="K11" i="21" s="1"/>
  <c r="M11" i="21" s="1"/>
  <c r="H4" i="19"/>
  <c r="G48" i="16"/>
  <c r="K48" i="16" s="1"/>
  <c r="M48" i="16" s="1"/>
  <c r="G33" i="16"/>
  <c r="K33" i="16" s="1"/>
  <c r="M33" i="16" s="1"/>
  <c r="G31" i="16"/>
  <c r="K31" i="16" s="1"/>
  <c r="M31" i="16" s="1"/>
  <c r="G29" i="16"/>
  <c r="K29" i="16" s="1"/>
  <c r="M29" i="16" s="1"/>
  <c r="G15" i="16"/>
  <c r="K15" i="16" s="1"/>
  <c r="M15" i="16" s="1"/>
  <c r="G12" i="16"/>
  <c r="K12" i="16" s="1"/>
  <c r="M12" i="16" s="1"/>
  <c r="K30" i="17"/>
  <c r="M30" i="17" s="1"/>
  <c r="G29" i="17"/>
  <c r="H21" i="17"/>
  <c r="H5" i="17"/>
  <c r="K31" i="17"/>
  <c r="M31" i="17" s="1"/>
  <c r="G30" i="17"/>
  <c r="G10" i="17"/>
  <c r="K10" i="17" s="1"/>
  <c r="M10" i="17" s="1"/>
  <c r="G13" i="17"/>
  <c r="K13" i="17" s="1"/>
  <c r="M13" i="17" s="1"/>
  <c r="G12" i="17"/>
  <c r="K12" i="17" s="1"/>
  <c r="M12" i="17" s="1"/>
  <c r="G28" i="20"/>
  <c r="K28" i="20" s="1"/>
  <c r="M28" i="20" s="1"/>
  <c r="G11" i="20"/>
  <c r="K11" i="20" s="1"/>
  <c r="M11" i="20" s="1"/>
  <c r="G10" i="19"/>
  <c r="K10" i="19" s="1"/>
  <c r="M10" i="19" s="1"/>
  <c r="G26" i="10"/>
  <c r="K26" i="10" s="1"/>
  <c r="M26" i="10" s="1"/>
  <c r="G25" i="10"/>
  <c r="K25" i="10" s="1"/>
  <c r="M25" i="10" s="1"/>
  <c r="M25" i="11"/>
  <c r="H25" i="11"/>
  <c r="G36" i="11" s="1"/>
  <c r="G15" i="11"/>
  <c r="K15" i="11" s="1"/>
  <c r="M15" i="11" s="1"/>
  <c r="B9" i="14"/>
  <c r="M6" i="18"/>
  <c r="H19" i="18"/>
  <c r="G28" i="18"/>
  <c r="M24" i="18"/>
  <c r="M25" i="20"/>
  <c r="M21" i="19"/>
  <c r="M9" i="16"/>
  <c r="M22" i="10"/>
  <c r="M21" i="10"/>
  <c r="M8" i="16"/>
  <c r="M24" i="20"/>
  <c r="M8" i="18"/>
  <c r="M23" i="18"/>
  <c r="H5" i="16"/>
  <c r="M7" i="18"/>
  <c r="H43" i="16"/>
  <c r="H18" i="18"/>
  <c r="H21" i="18"/>
  <c r="H4" i="10"/>
  <c r="E39" i="14"/>
  <c r="M8" i="17"/>
  <c r="M25" i="17"/>
  <c r="M7" i="20"/>
  <c r="M22" i="18"/>
  <c r="H42" i="16"/>
  <c r="M40" i="16"/>
  <c r="M45" i="16"/>
  <c r="M43" i="16"/>
  <c r="K41" i="16"/>
  <c r="M41" i="16" s="1"/>
  <c r="M22" i="11"/>
  <c r="M23" i="11"/>
  <c r="H30" i="11"/>
  <c r="M31" i="11"/>
  <c r="M32" i="11"/>
  <c r="B39" i="14"/>
  <c r="D11" i="14"/>
  <c r="D15" i="14" s="1"/>
  <c r="D17" i="14" s="1"/>
  <c r="H5" i="18"/>
  <c r="H4" i="18"/>
  <c r="M4" i="18"/>
  <c r="M5" i="18"/>
  <c r="M8" i="21"/>
  <c r="H3" i="18"/>
  <c r="H20" i="10"/>
  <c r="H4" i="21"/>
  <c r="M28" i="16"/>
  <c r="M10" i="21"/>
  <c r="M4" i="21"/>
  <c r="K3" i="21"/>
  <c r="M3" i="21" s="1"/>
  <c r="K6" i="21"/>
  <c r="M6" i="21" s="1"/>
  <c r="K7" i="21"/>
  <c r="M7" i="21" s="1"/>
  <c r="H3" i="20"/>
  <c r="M8" i="20"/>
  <c r="H20" i="20"/>
  <c r="H6" i="20"/>
  <c r="H18" i="19"/>
  <c r="H4" i="17"/>
  <c r="H5" i="20"/>
  <c r="M3" i="20"/>
  <c r="M20" i="20"/>
  <c r="M6" i="20"/>
  <c r="M23" i="20"/>
  <c r="K4" i="20"/>
  <c r="M4" i="20" s="1"/>
  <c r="K19" i="20"/>
  <c r="M19" i="20" s="1"/>
  <c r="K21" i="20"/>
  <c r="M21" i="20" s="1"/>
  <c r="K22" i="20"/>
  <c r="M22" i="20" s="1"/>
  <c r="M4" i="19"/>
  <c r="M8" i="19"/>
  <c r="M11" i="19"/>
  <c r="M23" i="19"/>
  <c r="M26" i="19"/>
  <c r="M27" i="19"/>
  <c r="M18" i="19"/>
  <c r="K3" i="19"/>
  <c r="M3" i="19" s="1"/>
  <c r="K5" i="19"/>
  <c r="M5" i="19" s="1"/>
  <c r="K17" i="19"/>
  <c r="M17" i="19" s="1"/>
  <c r="K20" i="19"/>
  <c r="M20" i="19" s="1"/>
  <c r="H22" i="16"/>
  <c r="H3" i="16"/>
  <c r="M7" i="16"/>
  <c r="M26" i="16"/>
  <c r="M3" i="16"/>
  <c r="M22" i="16"/>
  <c r="K4" i="16"/>
  <c r="M4" i="16" s="1"/>
  <c r="K21" i="16"/>
  <c r="M21" i="16" s="1"/>
  <c r="K23" i="16"/>
  <c r="M23" i="16" s="1"/>
  <c r="K25" i="16"/>
  <c r="M25" i="16" s="1"/>
  <c r="M9" i="17"/>
  <c r="H20" i="17"/>
  <c r="M22" i="17"/>
  <c r="M26" i="17"/>
  <c r="M4" i="17"/>
  <c r="M7" i="17"/>
  <c r="M20" i="17"/>
  <c r="M24" i="17"/>
  <c r="K3" i="17"/>
  <c r="M3" i="17" s="1"/>
  <c r="K6" i="17"/>
  <c r="M6" i="17" s="1"/>
  <c r="K19" i="17"/>
  <c r="M19" i="17" s="1"/>
  <c r="K23" i="17"/>
  <c r="M23" i="17" s="1"/>
  <c r="H17" i="10"/>
  <c r="M17" i="10"/>
  <c r="M20" i="10"/>
  <c r="K18" i="10"/>
  <c r="M18" i="10" s="1"/>
  <c r="M24" i="11"/>
  <c r="M30" i="11"/>
  <c r="M33" i="11"/>
  <c r="H22" i="11"/>
  <c r="H23" i="11"/>
  <c r="H24" i="11"/>
  <c r="M11" i="11"/>
  <c r="M10" i="11"/>
  <c r="K3" i="11"/>
  <c r="M3" i="11" s="1"/>
  <c r="H3" i="11"/>
  <c r="K4" i="11"/>
  <c r="M4" i="11" s="1"/>
  <c r="H4" i="11"/>
  <c r="H9" i="11"/>
  <c r="G18" i="11" s="1"/>
  <c r="K9" i="11"/>
  <c r="M9" i="11" s="1"/>
  <c r="M12" i="11"/>
  <c r="K5" i="11"/>
  <c r="M5" i="11" s="1"/>
  <c r="J15" i="14"/>
  <c r="J17" i="14" s="1"/>
  <c r="K17" i="14"/>
  <c r="K18" i="14" s="1"/>
  <c r="D39" i="14"/>
  <c r="M4" i="10"/>
  <c r="L19" i="9"/>
  <c r="F19" i="9"/>
  <c r="L9" i="9"/>
  <c r="G9" i="9"/>
  <c r="H9" i="9" s="1"/>
  <c r="L24" i="8"/>
  <c r="F24" i="8"/>
  <c r="L5" i="8"/>
  <c r="G5" i="8"/>
  <c r="K5" i="8" s="1"/>
  <c r="L15" i="15"/>
  <c r="F15" i="15"/>
  <c r="L12" i="15"/>
  <c r="F12" i="15"/>
  <c r="L11" i="15"/>
  <c r="F11" i="15"/>
  <c r="L10" i="15"/>
  <c r="K10" i="15"/>
  <c r="M10" i="15" s="1"/>
  <c r="H10" i="15"/>
  <c r="L9" i="15"/>
  <c r="K9" i="15"/>
  <c r="H9" i="15"/>
  <c r="L8" i="15"/>
  <c r="K8" i="15"/>
  <c r="H8" i="15"/>
  <c r="L7" i="15"/>
  <c r="G7" i="15"/>
  <c r="K7" i="15" s="1"/>
  <c r="E4" i="15"/>
  <c r="G4" i="15" s="1"/>
  <c r="E3" i="15"/>
  <c r="G3" i="15" s="1"/>
  <c r="H3" i="15" s="1"/>
  <c r="E3" i="1"/>
  <c r="G3" i="1" s="1"/>
  <c r="E4" i="1"/>
  <c r="G4" i="1" s="1"/>
  <c r="G5" i="1"/>
  <c r="H5" i="1" s="1"/>
  <c r="K11" i="1" s="1"/>
  <c r="L5" i="1"/>
  <c r="H6" i="1"/>
  <c r="K6" i="1"/>
  <c r="L6" i="1"/>
  <c r="H7" i="1"/>
  <c r="K7" i="1"/>
  <c r="L7" i="1"/>
  <c r="H8" i="1"/>
  <c r="K8" i="1"/>
  <c r="L8" i="1"/>
  <c r="F10" i="1"/>
  <c r="L10" i="1"/>
  <c r="F11" i="1"/>
  <c r="L11" i="1"/>
  <c r="E3" i="4"/>
  <c r="G3" i="4" s="1"/>
  <c r="L3" i="4"/>
  <c r="E4" i="4"/>
  <c r="G4" i="4" s="1"/>
  <c r="L4" i="4"/>
  <c r="E7" i="4"/>
  <c r="G7" i="4" s="1"/>
  <c r="L7" i="4"/>
  <c r="H8" i="4"/>
  <c r="K8" i="4"/>
  <c r="L8" i="4"/>
  <c r="H9" i="4"/>
  <c r="K9" i="4"/>
  <c r="M9" i="4" s="1"/>
  <c r="L9" i="4"/>
  <c r="H10" i="4"/>
  <c r="K10" i="4"/>
  <c r="L10" i="4"/>
  <c r="F11" i="4"/>
  <c r="L11" i="4"/>
  <c r="F12" i="4"/>
  <c r="L12" i="4"/>
  <c r="F15" i="4"/>
  <c r="L15" i="4"/>
  <c r="E3" i="5"/>
  <c r="G3" i="5" s="1"/>
  <c r="L3" i="5"/>
  <c r="E4" i="5"/>
  <c r="G4" i="5" s="1"/>
  <c r="L4" i="5"/>
  <c r="B7" i="5"/>
  <c r="E7" i="5" s="1"/>
  <c r="G7" i="5" s="1"/>
  <c r="L7" i="5"/>
  <c r="H8" i="5"/>
  <c r="K8" i="5"/>
  <c r="L8" i="5"/>
  <c r="H9" i="5"/>
  <c r="K9" i="5"/>
  <c r="M9" i="5" s="1"/>
  <c r="L9" i="5"/>
  <c r="H10" i="5"/>
  <c r="K10" i="5"/>
  <c r="L10" i="5"/>
  <c r="F11" i="5"/>
  <c r="L11" i="5"/>
  <c r="F12" i="5"/>
  <c r="L12" i="5"/>
  <c r="F14" i="5"/>
  <c r="L14" i="5"/>
  <c r="F15" i="5"/>
  <c r="L15" i="5"/>
  <c r="E3" i="7"/>
  <c r="G3" i="7" s="1"/>
  <c r="K3" i="7" s="1"/>
  <c r="L3" i="7"/>
  <c r="E4" i="7"/>
  <c r="G4" i="7" s="1"/>
  <c r="L4" i="7"/>
  <c r="G7" i="7"/>
  <c r="H7" i="7" s="1"/>
  <c r="L7" i="7"/>
  <c r="H8" i="7"/>
  <c r="L8" i="7"/>
  <c r="H9" i="7"/>
  <c r="K9" i="7"/>
  <c r="L9" i="7"/>
  <c r="H10" i="7"/>
  <c r="K10" i="7"/>
  <c r="L10" i="7"/>
  <c r="F11" i="7"/>
  <c r="L11" i="7"/>
  <c r="F12" i="7"/>
  <c r="L12" i="7"/>
  <c r="F15" i="7"/>
  <c r="L15" i="7"/>
  <c r="E3" i="6"/>
  <c r="G3" i="6" s="1"/>
  <c r="L3" i="6"/>
  <c r="E4" i="6"/>
  <c r="G4" i="6" s="1"/>
  <c r="L4" i="6"/>
  <c r="E5" i="6"/>
  <c r="G5" i="6" s="1"/>
  <c r="L5" i="6"/>
  <c r="B9" i="6"/>
  <c r="E9" i="6" s="1"/>
  <c r="G9" i="6" s="1"/>
  <c r="L9" i="6"/>
  <c r="H10" i="6"/>
  <c r="K10" i="6"/>
  <c r="L10" i="6"/>
  <c r="H11" i="6"/>
  <c r="K11" i="6"/>
  <c r="L11" i="6"/>
  <c r="H12" i="6"/>
  <c r="K12" i="6"/>
  <c r="L12" i="6"/>
  <c r="F13" i="6"/>
  <c r="L13" i="6"/>
  <c r="F14" i="6"/>
  <c r="L14" i="6"/>
  <c r="F15" i="6"/>
  <c r="L15" i="6"/>
  <c r="F19" i="6"/>
  <c r="L19" i="6"/>
  <c r="E3" i="9"/>
  <c r="G3" i="9" s="1"/>
  <c r="L3" i="9"/>
  <c r="E4" i="9"/>
  <c r="G4" i="9" s="1"/>
  <c r="L4" i="9"/>
  <c r="E5" i="9"/>
  <c r="G5" i="9" s="1"/>
  <c r="L5" i="9"/>
  <c r="H10" i="9"/>
  <c r="K10" i="9"/>
  <c r="L10" i="9"/>
  <c r="H11" i="9"/>
  <c r="K11" i="9"/>
  <c r="L11" i="9"/>
  <c r="H12" i="9"/>
  <c r="K12" i="9"/>
  <c r="L12" i="9"/>
  <c r="F13" i="9"/>
  <c r="L13" i="9"/>
  <c r="F14" i="9"/>
  <c r="L14" i="9"/>
  <c r="F15" i="9"/>
  <c r="L15" i="9"/>
  <c r="E3" i="8"/>
  <c r="G3" i="8" s="1"/>
  <c r="L3" i="8"/>
  <c r="E4" i="8"/>
  <c r="G4" i="8" s="1"/>
  <c r="L4" i="8"/>
  <c r="B11" i="8"/>
  <c r="E11" i="8" s="1"/>
  <c r="G11" i="8" s="1"/>
  <c r="L11" i="8"/>
  <c r="E12" i="8"/>
  <c r="G12" i="8" s="1"/>
  <c r="H12" i="8" s="1"/>
  <c r="K20" i="8" s="1"/>
  <c r="M20" i="8" s="1"/>
  <c r="L12" i="8"/>
  <c r="H13" i="8"/>
  <c r="K13" i="8"/>
  <c r="L13" i="8"/>
  <c r="H14" i="8"/>
  <c r="K14" i="8"/>
  <c r="L14" i="8"/>
  <c r="H15" i="8"/>
  <c r="K15" i="8"/>
  <c r="L15" i="8"/>
  <c r="F16" i="8"/>
  <c r="L16" i="8"/>
  <c r="F17" i="8"/>
  <c r="L17" i="8"/>
  <c r="L18" i="8"/>
  <c r="F19" i="8"/>
  <c r="L19" i="8"/>
  <c r="F23" i="8"/>
  <c r="L23" i="8"/>
  <c r="G3" i="10"/>
  <c r="G5" i="10"/>
  <c r="H5" i="10" s="1"/>
  <c r="H6" i="10"/>
  <c r="K6" i="10"/>
  <c r="L6" i="10"/>
  <c r="H7" i="10"/>
  <c r="K7" i="10"/>
  <c r="L7" i="10"/>
  <c r="H8" i="10"/>
  <c r="K8" i="10"/>
  <c r="L8" i="10"/>
  <c r="F11" i="10"/>
  <c r="G13" i="20" l="1"/>
  <c r="K13" i="20" s="1"/>
  <c r="M13" i="20" s="1"/>
  <c r="G12" i="20"/>
  <c r="K12" i="20" s="1"/>
  <c r="M12" i="20" s="1"/>
  <c r="G10" i="20"/>
  <c r="K10" i="20" s="1"/>
  <c r="M10" i="20" s="1"/>
  <c r="M14" i="20" s="1"/>
  <c r="M15" i="20" s="1"/>
  <c r="G12" i="21"/>
  <c r="K12" i="21" s="1"/>
  <c r="M12" i="21" s="1"/>
  <c r="M16" i="21" s="1"/>
  <c r="M17" i="21" s="1"/>
  <c r="G49" i="16"/>
  <c r="K49" i="16" s="1"/>
  <c r="M49" i="16" s="1"/>
  <c r="G50" i="16"/>
  <c r="K50" i="16" s="1"/>
  <c r="M50" i="16" s="1"/>
  <c r="G30" i="16"/>
  <c r="K30" i="16" s="1"/>
  <c r="M30" i="16" s="1"/>
  <c r="M34" i="16" s="1"/>
  <c r="M35" i="16" s="1"/>
  <c r="G13" i="16"/>
  <c r="K13" i="16" s="1"/>
  <c r="M13" i="16" s="1"/>
  <c r="G11" i="16"/>
  <c r="K11" i="16" s="1"/>
  <c r="M11" i="16" s="1"/>
  <c r="K28" i="17"/>
  <c r="M28" i="17" s="1"/>
  <c r="G27" i="17"/>
  <c r="K27" i="17" s="1"/>
  <c r="M27" i="17" s="1"/>
  <c r="K29" i="17"/>
  <c r="M29" i="17" s="1"/>
  <c r="G28" i="17"/>
  <c r="G11" i="17"/>
  <c r="K11" i="17" s="1"/>
  <c r="M11" i="17" s="1"/>
  <c r="M14" i="17" s="1"/>
  <c r="M15" i="17" s="1"/>
  <c r="G35" i="11"/>
  <c r="K41" i="11"/>
  <c r="M41" i="11" s="1"/>
  <c r="K36" i="11"/>
  <c r="M36" i="11" s="1"/>
  <c r="K35" i="11"/>
  <c r="M35" i="11" s="1"/>
  <c r="G40" i="11"/>
  <c r="K40" i="11" s="1"/>
  <c r="M40" i="11" s="1"/>
  <c r="K37" i="11"/>
  <c r="M37" i="11" s="1"/>
  <c r="G11" i="15"/>
  <c r="K11" i="15" s="1"/>
  <c r="M11" i="15" s="1"/>
  <c r="G27" i="20"/>
  <c r="K27" i="20" s="1"/>
  <c r="M27" i="20" s="1"/>
  <c r="M30" i="20" s="1"/>
  <c r="M31" i="20" s="1"/>
  <c r="K25" i="19"/>
  <c r="M25" i="19" s="1"/>
  <c r="G24" i="19"/>
  <c r="K24" i="19" s="1"/>
  <c r="M24" i="19" s="1"/>
  <c r="G11" i="10"/>
  <c r="K11" i="10" s="1"/>
  <c r="M11" i="10" s="1"/>
  <c r="G27" i="10"/>
  <c r="K27" i="10" s="1"/>
  <c r="M27" i="10" s="1"/>
  <c r="G24" i="10"/>
  <c r="K24" i="10" s="1"/>
  <c r="M24" i="10" s="1"/>
  <c r="G10" i="10"/>
  <c r="K10" i="10" s="1"/>
  <c r="M10" i="10" s="1"/>
  <c r="K38" i="11"/>
  <c r="M38" i="11" s="1"/>
  <c r="G34" i="11"/>
  <c r="K34" i="11" s="1"/>
  <c r="M34" i="11" s="1"/>
  <c r="G42" i="11"/>
  <c r="K42" i="11" s="1"/>
  <c r="M42" i="11" s="1"/>
  <c r="G14" i="11"/>
  <c r="K14" i="11" s="1"/>
  <c r="M14" i="11" s="1"/>
  <c r="G13" i="11"/>
  <c r="K13" i="11" s="1"/>
  <c r="M13" i="11" s="1"/>
  <c r="M5" i="8"/>
  <c r="G24" i="8"/>
  <c r="K24" i="8" s="1"/>
  <c r="M24" i="8" s="1"/>
  <c r="G19" i="9"/>
  <c r="K19" i="9" s="1"/>
  <c r="M19" i="9" s="1"/>
  <c r="B11" i="14"/>
  <c r="B15" i="14" s="1"/>
  <c r="B17" i="14" s="1"/>
  <c r="M10" i="9"/>
  <c r="M10" i="6"/>
  <c r="M10" i="4"/>
  <c r="G9" i="18"/>
  <c r="K9" i="18" s="1"/>
  <c r="M9" i="18" s="1"/>
  <c r="G10" i="18"/>
  <c r="K10" i="18" s="1"/>
  <c r="M10" i="18" s="1"/>
  <c r="K28" i="18"/>
  <c r="M28" i="18" s="1"/>
  <c r="G26" i="18"/>
  <c r="K26" i="18" s="1"/>
  <c r="M26" i="18" s="1"/>
  <c r="G11" i="18"/>
  <c r="K11" i="18" s="1"/>
  <c r="M11" i="18" s="1"/>
  <c r="G25" i="18"/>
  <c r="K25" i="18" s="1"/>
  <c r="M25" i="18" s="1"/>
  <c r="M12" i="9"/>
  <c r="M11" i="9"/>
  <c r="M15" i="7"/>
  <c r="M8" i="4"/>
  <c r="M12" i="6"/>
  <c r="M11" i="1"/>
  <c r="H5" i="8"/>
  <c r="G18" i="8" s="1"/>
  <c r="K18" i="8" s="1"/>
  <c r="M18" i="8" s="1"/>
  <c r="H11" i="14"/>
  <c r="H15" i="14" s="1"/>
  <c r="H17" i="14" s="1"/>
  <c r="K5" i="10"/>
  <c r="M5" i="10" s="1"/>
  <c r="M12" i="19"/>
  <c r="M13" i="19" s="1"/>
  <c r="K18" i="11"/>
  <c r="M18" i="11" s="1"/>
  <c r="M7" i="10"/>
  <c r="M8" i="10"/>
  <c r="M6" i="10"/>
  <c r="H3" i="10"/>
  <c r="G9" i="10" s="1"/>
  <c r="K3" i="10"/>
  <c r="M3" i="10" s="1"/>
  <c r="K9" i="9"/>
  <c r="M9" i="9" s="1"/>
  <c r="M15" i="8"/>
  <c r="M13" i="8"/>
  <c r="K12" i="8"/>
  <c r="M12" i="8" s="1"/>
  <c r="M9" i="7"/>
  <c r="K7" i="7"/>
  <c r="M7" i="7" s="1"/>
  <c r="M10" i="7"/>
  <c r="M8" i="7"/>
  <c r="M8" i="15"/>
  <c r="H7" i="15"/>
  <c r="K15" i="15" s="1"/>
  <c r="M15" i="15" s="1"/>
  <c r="M7" i="1"/>
  <c r="K5" i="1"/>
  <c r="M5" i="1" s="1"/>
  <c r="K4" i="15"/>
  <c r="M4" i="15" s="1"/>
  <c r="H4" i="15"/>
  <c r="M7" i="15"/>
  <c r="M9" i="15"/>
  <c r="K3" i="15"/>
  <c r="M3" i="15" s="1"/>
  <c r="H11" i="8"/>
  <c r="K11" i="8"/>
  <c r="M11" i="8" s="1"/>
  <c r="K4" i="8"/>
  <c r="M4" i="8" s="1"/>
  <c r="H4" i="8"/>
  <c r="K3" i="8"/>
  <c r="M3" i="8" s="1"/>
  <c r="H3" i="8"/>
  <c r="K5" i="6"/>
  <c r="M5" i="6" s="1"/>
  <c r="H5" i="6"/>
  <c r="K4" i="6"/>
  <c r="M4" i="6" s="1"/>
  <c r="H4" i="6"/>
  <c r="K3" i="6"/>
  <c r="M3" i="6" s="1"/>
  <c r="H3" i="6"/>
  <c r="H7" i="5"/>
  <c r="K15" i="5" s="1"/>
  <c r="M15" i="5" s="1"/>
  <c r="K7" i="5"/>
  <c r="M7" i="5" s="1"/>
  <c r="K4" i="5"/>
  <c r="M4" i="5" s="1"/>
  <c r="H4" i="5"/>
  <c r="K3" i="5"/>
  <c r="M3" i="5" s="1"/>
  <c r="H3" i="5"/>
  <c r="K4" i="1"/>
  <c r="M4" i="1" s="1"/>
  <c r="H4" i="1"/>
  <c r="K3" i="1"/>
  <c r="M3" i="1" s="1"/>
  <c r="H3" i="1"/>
  <c r="M14" i="8"/>
  <c r="M11" i="6"/>
  <c r="M10" i="5"/>
  <c r="M8" i="5"/>
  <c r="M8" i="1"/>
  <c r="M6" i="1"/>
  <c r="K5" i="9"/>
  <c r="M5" i="9" s="1"/>
  <c r="H5" i="9"/>
  <c r="K4" i="9"/>
  <c r="M4" i="9" s="1"/>
  <c r="H4" i="9"/>
  <c r="K3" i="9"/>
  <c r="M3" i="9" s="1"/>
  <c r="H3" i="9"/>
  <c r="K9" i="6"/>
  <c r="M9" i="6" s="1"/>
  <c r="H9" i="6"/>
  <c r="K19" i="6" s="1"/>
  <c r="M19" i="6" s="1"/>
  <c r="K4" i="7"/>
  <c r="M4" i="7" s="1"/>
  <c r="H4" i="7"/>
  <c r="M3" i="7"/>
  <c r="H3" i="7"/>
  <c r="H7" i="4"/>
  <c r="K7" i="4"/>
  <c r="M7" i="4" s="1"/>
  <c r="K4" i="4"/>
  <c r="M4" i="4" s="1"/>
  <c r="H4" i="4"/>
  <c r="K3" i="4"/>
  <c r="M3" i="4" s="1"/>
  <c r="H3" i="4"/>
  <c r="M28" i="19" l="1"/>
  <c r="M51" i="16"/>
  <c r="D54" i="13" s="1"/>
  <c r="M16" i="16"/>
  <c r="D33" i="13" s="1"/>
  <c r="E33" i="13" s="1"/>
  <c r="M32" i="17"/>
  <c r="G13" i="6"/>
  <c r="K13" i="6" s="1"/>
  <c r="M13" i="6" s="1"/>
  <c r="G11" i="7"/>
  <c r="K11" i="7" s="1"/>
  <c r="M11" i="7" s="1"/>
  <c r="G11" i="5"/>
  <c r="K11" i="5" s="1"/>
  <c r="M11" i="5" s="1"/>
  <c r="G10" i="1"/>
  <c r="K10" i="1" s="1"/>
  <c r="M10" i="1" s="1"/>
  <c r="M28" i="10"/>
  <c r="M44" i="11"/>
  <c r="D23" i="13" s="1"/>
  <c r="E23" i="13" s="1"/>
  <c r="I23" i="13" s="1"/>
  <c r="K23" i="13" s="1"/>
  <c r="M23" i="13" s="1"/>
  <c r="G16" i="8"/>
  <c r="K16" i="8" s="1"/>
  <c r="M16" i="8" s="1"/>
  <c r="K19" i="8"/>
  <c r="M19" i="8" s="1"/>
  <c r="G23" i="8"/>
  <c r="K23" i="8" s="1"/>
  <c r="M23" i="8" s="1"/>
  <c r="G17" i="8"/>
  <c r="K17" i="8" s="1"/>
  <c r="M17" i="8" s="1"/>
  <c r="G13" i="9"/>
  <c r="K13" i="9" s="1"/>
  <c r="M13" i="9" s="1"/>
  <c r="G15" i="9"/>
  <c r="K15" i="9" s="1"/>
  <c r="M15" i="9" s="1"/>
  <c r="G14" i="9"/>
  <c r="K14" i="9" s="1"/>
  <c r="M14" i="9" s="1"/>
  <c r="G15" i="6"/>
  <c r="K15" i="6" s="1"/>
  <c r="M15" i="6" s="1"/>
  <c r="G14" i="6"/>
  <c r="K14" i="6" s="1"/>
  <c r="M14" i="6" s="1"/>
  <c r="G12" i="7"/>
  <c r="K12" i="7" s="1"/>
  <c r="M12" i="7" s="1"/>
  <c r="G14" i="5"/>
  <c r="K14" i="5" s="1"/>
  <c r="M14" i="5" s="1"/>
  <c r="K12" i="5"/>
  <c r="M12" i="5" s="1"/>
  <c r="G12" i="5"/>
  <c r="G15" i="4"/>
  <c r="K15" i="4" s="1"/>
  <c r="M15" i="4" s="1"/>
  <c r="G11" i="4"/>
  <c r="K11" i="4" s="1"/>
  <c r="M11" i="4" s="1"/>
  <c r="G12" i="15"/>
  <c r="K12" i="15" s="1"/>
  <c r="M12" i="15" s="1"/>
  <c r="M17" i="15" s="1"/>
  <c r="M18" i="15" s="1"/>
  <c r="K12" i="4"/>
  <c r="M12" i="4" s="1"/>
  <c r="G12" i="4"/>
  <c r="M29" i="18"/>
  <c r="M12" i="18"/>
  <c r="K9" i="1"/>
  <c r="M9" i="1" s="1"/>
  <c r="D42" i="13"/>
  <c r="D41" i="13"/>
  <c r="K9" i="10"/>
  <c r="M9" i="10" s="1"/>
  <c r="M12" i="10" s="1"/>
  <c r="M13" i="10" s="1"/>
  <c r="D44" i="13"/>
  <c r="D43" i="13"/>
  <c r="D45" i="13"/>
  <c r="D46" i="13"/>
  <c r="D36" i="13"/>
  <c r="E36" i="13" s="1"/>
  <c r="D35" i="13"/>
  <c r="E35" i="13" s="1"/>
  <c r="D37" i="13"/>
  <c r="D38" i="13"/>
  <c r="D29" i="13"/>
  <c r="E29" i="13" s="1"/>
  <c r="D30" i="13"/>
  <c r="E30" i="13" s="1"/>
  <c r="M19" i="11"/>
  <c r="D21" i="13" s="1"/>
  <c r="E21" i="13" s="1"/>
  <c r="I21" i="13" s="1"/>
  <c r="K21" i="13" s="1"/>
  <c r="M21" i="13" s="1"/>
  <c r="M13" i="18" l="1"/>
  <c r="D49" i="13" s="1"/>
  <c r="E49" i="13" s="1"/>
  <c r="M33" i="17"/>
  <c r="D32" i="13" s="1"/>
  <c r="E32" i="13" s="1"/>
  <c r="M30" i="18"/>
  <c r="D52" i="13" s="1"/>
  <c r="E52" i="13" s="1"/>
  <c r="M29" i="10"/>
  <c r="D28" i="13" s="1"/>
  <c r="E28" i="13" s="1"/>
  <c r="M29" i="19"/>
  <c r="D39" i="13" s="1"/>
  <c r="E39" i="13" s="1"/>
  <c r="D53" i="13"/>
  <c r="D34" i="13"/>
  <c r="E34" i="13" s="1"/>
  <c r="M17" i="7"/>
  <c r="M25" i="8"/>
  <c r="D19" i="13" s="1"/>
  <c r="E19" i="13" s="1"/>
  <c r="M22" i="9"/>
  <c r="M21" i="6"/>
  <c r="M17" i="5"/>
  <c r="M17" i="4"/>
  <c r="E53" i="13"/>
  <c r="I53" i="13" s="1"/>
  <c r="K53" i="13" s="1"/>
  <c r="M53" i="13" s="1"/>
  <c r="D25" i="13"/>
  <c r="E25" i="13" s="1"/>
  <c r="I25" i="13" s="1"/>
  <c r="K25" i="13" s="1"/>
  <c r="M25" i="13" s="1"/>
  <c r="D26" i="13"/>
  <c r="E26" i="13" s="1"/>
  <c r="E54" i="13"/>
  <c r="I54" i="13" s="1"/>
  <c r="K54" i="13" s="1"/>
  <c r="M54" i="13" s="1"/>
  <c r="M13" i="1"/>
  <c r="D5" i="13" s="1"/>
  <c r="E45" i="13"/>
  <c r="E37" i="13"/>
  <c r="E42" i="13"/>
  <c r="E41" i="13"/>
  <c r="E38" i="13"/>
  <c r="E44" i="13"/>
  <c r="E43" i="13"/>
  <c r="D51" i="13" l="1"/>
  <c r="E51" i="13" s="1"/>
  <c r="D50" i="13"/>
  <c r="E50" i="13" s="1"/>
  <c r="D31" i="13"/>
  <c r="E31" i="13" s="1"/>
  <c r="D40" i="13"/>
  <c r="E40" i="13" s="1"/>
  <c r="I40" i="13" s="1"/>
  <c r="M18" i="4"/>
  <c r="D7" i="13" s="1"/>
  <c r="M18" i="5"/>
  <c r="D11" i="13" s="1"/>
  <c r="E11" i="13" s="1"/>
  <c r="D27" i="13"/>
  <c r="E27" i="13" s="1"/>
  <c r="M22" i="6"/>
  <c r="D15" i="13" s="1"/>
  <c r="E15" i="13" s="1"/>
  <c r="M18" i="7"/>
  <c r="D13" i="13" s="1"/>
  <c r="M23" i="9"/>
  <c r="D17" i="13" s="1"/>
  <c r="E9" i="13"/>
  <c r="I9" i="13" s="1"/>
  <c r="E5" i="13"/>
  <c r="I5" i="13" s="1"/>
  <c r="I29" i="13"/>
  <c r="I35" i="13"/>
  <c r="I44" i="13"/>
  <c r="I52" i="13"/>
  <c r="I26" i="13"/>
  <c r="K26" i="13" s="1"/>
  <c r="M26" i="13" s="1"/>
  <c r="I30" i="13"/>
  <c r="I37" i="13"/>
  <c r="I32" i="13"/>
  <c r="I39" i="13"/>
  <c r="I34" i="13"/>
  <c r="I42" i="13"/>
  <c r="I36" i="13"/>
  <c r="I43" i="13"/>
  <c r="I38" i="13"/>
  <c r="I45" i="13"/>
  <c r="K45" i="13" s="1"/>
  <c r="M45" i="13" s="1"/>
  <c r="I28" i="13"/>
  <c r="I33" i="13"/>
  <c r="K33" i="13" s="1"/>
  <c r="M33" i="13" s="1"/>
  <c r="I49" i="13"/>
  <c r="K49" i="13" s="1"/>
  <c r="M49" i="13" s="1"/>
  <c r="I19" i="13"/>
  <c r="I51" i="13" l="1"/>
  <c r="K51" i="13" s="1"/>
  <c r="M51" i="13" s="1"/>
  <c r="I31" i="13"/>
  <c r="I27" i="13"/>
  <c r="I50" i="13"/>
  <c r="K50" i="13" s="1"/>
  <c r="M50" i="13" s="1"/>
  <c r="E7" i="13"/>
  <c r="I7" i="13" s="1"/>
  <c r="E17" i="13"/>
  <c r="I17" i="13" s="1"/>
  <c r="K17" i="13" s="1"/>
  <c r="M17" i="13" s="1"/>
  <c r="E13" i="13"/>
  <c r="I13" i="13" s="1"/>
  <c r="K9" i="13"/>
  <c r="M9" i="13" s="1"/>
  <c r="I11" i="13"/>
  <c r="K11" i="13" s="1"/>
  <c r="M11" i="13" s="1"/>
  <c r="E46" i="13"/>
  <c r="I46" i="13" s="1"/>
  <c r="K40" i="13"/>
  <c r="M40" i="13" s="1"/>
  <c r="K28" i="13"/>
  <c r="M28" i="13" s="1"/>
  <c r="K32" i="13"/>
  <c r="M32" i="13" s="1"/>
  <c r="K29" i="13"/>
  <c r="M29" i="13" s="1"/>
  <c r="I41" i="13"/>
  <c r="K41" i="13" s="1"/>
  <c r="M41" i="13" s="1"/>
  <c r="K36" i="13"/>
  <c r="M36" i="13" s="1"/>
  <c r="K37" i="13"/>
  <c r="M37" i="13" s="1"/>
  <c r="K44" i="13"/>
  <c r="M44" i="13" s="1"/>
  <c r="I15" i="13"/>
  <c r="K15" i="13" s="1"/>
  <c r="M15" i="13" s="1"/>
  <c r="K19" i="13"/>
  <c r="M19" i="13" s="1"/>
  <c r="K43" i="13"/>
  <c r="M43" i="13" s="1"/>
  <c r="K42" i="13"/>
  <c r="M42" i="13" s="1"/>
  <c r="K27" i="13"/>
  <c r="M27" i="13" s="1"/>
  <c r="K52" i="13"/>
  <c r="M52" i="13" s="1"/>
  <c r="K35" i="13"/>
  <c r="M35" i="13" s="1"/>
  <c r="K39" i="13"/>
  <c r="M39" i="13" s="1"/>
  <c r="K30" i="13"/>
  <c r="M30" i="13" s="1"/>
  <c r="K31" i="13"/>
  <c r="M31" i="13" s="1"/>
  <c r="K5" i="13"/>
  <c r="M5" i="13" s="1"/>
  <c r="K38" i="13"/>
  <c r="M38" i="13" s="1"/>
  <c r="K34" i="13"/>
  <c r="M34" i="13" s="1"/>
  <c r="K7" i="13" l="1"/>
  <c r="M7" i="13" s="1"/>
  <c r="K13" i="13"/>
  <c r="M13" i="13" s="1"/>
  <c r="K46" i="13"/>
  <c r="M46" i="13" s="1"/>
  <c r="E60" i="13" l="1"/>
</calcChain>
</file>

<file path=xl/comments1.xml><?xml version="1.0" encoding="utf-8"?>
<comments xmlns="http://schemas.openxmlformats.org/spreadsheetml/2006/main">
  <authors>
    <author>ServUS</author>
  </authors>
  <commentList>
    <comment ref="I8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All other tabs showed 21.91. This tab showed 21.29. correct?</t>
        </r>
      </text>
    </comment>
  </commentList>
</comments>
</file>

<file path=xl/comments2.xml><?xml version="1.0" encoding="utf-8"?>
<comments xmlns="http://schemas.openxmlformats.org/spreadsheetml/2006/main">
  <authors>
    <author>ServUS</author>
  </authors>
  <commentList>
    <comment ref="I10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All other tabs showed 21.91. This tab showed 21.29. correct?</t>
        </r>
      </text>
    </comment>
  </commentList>
</comments>
</file>

<file path=xl/sharedStrings.xml><?xml version="1.0" encoding="utf-8"?>
<sst xmlns="http://schemas.openxmlformats.org/spreadsheetml/2006/main" count="966" uniqueCount="219">
  <si>
    <t>Leased</t>
  </si>
  <si>
    <t>Facility</t>
  </si>
  <si>
    <t>(includes active treatment)</t>
  </si>
  <si>
    <t>1st Shift</t>
  </si>
  <si>
    <t>2nd Shift</t>
  </si>
  <si>
    <t>3rd Shift</t>
  </si>
  <si>
    <t>DSP -1</t>
  </si>
  <si>
    <t>Daily Hrs</t>
  </si>
  <si>
    <t>Annual Calculation</t>
  </si>
  <si>
    <t>Total Hrs</t>
  </si>
  <si>
    <t>Rate</t>
  </si>
  <si>
    <t>LPN</t>
  </si>
  <si>
    <t>RN</t>
  </si>
  <si>
    <t>QMRP</t>
  </si>
  <si>
    <t>Hse Manager</t>
  </si>
  <si>
    <t>DSP -1 O/T HRS</t>
  </si>
  <si>
    <t>DSP -2</t>
  </si>
  <si>
    <t>DSP -2 O/T HRS</t>
  </si>
  <si>
    <t>LPN O/T HRS</t>
  </si>
  <si>
    <t>FTE Eq</t>
  </si>
  <si>
    <t>Total</t>
  </si>
  <si>
    <t>Per diem</t>
  </si>
  <si>
    <t>Ratio</t>
  </si>
  <si>
    <t>Total annual amount</t>
  </si>
  <si>
    <t>Per capita annual amount</t>
  </si>
  <si>
    <t>DSP-3</t>
  </si>
  <si>
    <t>DSP -3 O/T HRS</t>
  </si>
  <si>
    <t>Benefit ratio</t>
  </si>
  <si>
    <t>DSP -1 O/T/Vac HRS</t>
  </si>
  <si>
    <t>DSP-4</t>
  </si>
  <si>
    <t>Benefits</t>
  </si>
  <si>
    <t>LPN-2</t>
  </si>
  <si>
    <t>Beds</t>
  </si>
  <si>
    <t>Direct care staffing</t>
  </si>
  <si>
    <t>Other health care &amp; program</t>
  </si>
  <si>
    <t>Non-Pers Oper</t>
  </si>
  <si>
    <t>Transp.</t>
  </si>
  <si>
    <t>Capital</t>
  </si>
  <si>
    <t>Admin</t>
  </si>
  <si>
    <t>Active Tx</t>
  </si>
  <si>
    <t>Average rate among known clients:</t>
  </si>
  <si>
    <t>LPN-BASE</t>
  </si>
  <si>
    <t>DSP -2 O/T PTO</t>
  </si>
  <si>
    <t>DSP -1 O/T PTO</t>
  </si>
  <si>
    <t>LPN O/T PTO</t>
  </si>
  <si>
    <t>DSP -3 O/T PTO</t>
  </si>
  <si>
    <t>LPN-2 O/T PTO</t>
  </si>
  <si>
    <t>These direct care cost center rates auto-populate from the calculation sheets.</t>
  </si>
  <si>
    <t>Base defined as 1:4 staffing for DSP in 4  bed home at all times</t>
  </si>
  <si>
    <t>4</t>
  </si>
  <si>
    <t>5-6</t>
  </si>
  <si>
    <t xml:space="preserve">1:2 staffing awake hours and 1:4 overnight DSP </t>
  </si>
  <si>
    <t xml:space="preserve">1:3 awake and 1:6 asleep DSP </t>
  </si>
  <si>
    <t xml:space="preserve">1:2 staffing for DSP </t>
  </si>
  <si>
    <t>1:2 awake and 1:3 overnight DSP</t>
  </si>
  <si>
    <t>3/4 awake and 2/4 overnight DSP</t>
  </si>
  <si>
    <t>DSP-3 O/T PTO</t>
  </si>
  <si>
    <t xml:space="preserve">4/5:6 awake and 2/5:6 overnight </t>
  </si>
  <si>
    <t>DSP-4 O/T PTO</t>
  </si>
  <si>
    <t>LPN-Base</t>
  </si>
  <si>
    <t>8 hours a day extra LPN</t>
  </si>
  <si>
    <t>LPN Base O/T PTO</t>
  </si>
  <si>
    <t>Res Hab Base</t>
  </si>
  <si>
    <t>Res Hab Moderate</t>
  </si>
  <si>
    <t>Res Hab Enhanced</t>
  </si>
  <si>
    <t>Res Hab Intensive</t>
  </si>
  <si>
    <t>SL 1:3</t>
  </si>
  <si>
    <t>DSP -2 O/T/Vac HRS</t>
  </si>
  <si>
    <t>SL</t>
  </si>
  <si>
    <t>with trans</t>
  </si>
  <si>
    <t>no trans</t>
  </si>
  <si>
    <t>In-home Support</t>
  </si>
  <si>
    <t>Respite</t>
  </si>
  <si>
    <t>SE</t>
  </si>
  <si>
    <t>GSE</t>
  </si>
  <si>
    <t>hourly wage</t>
  </si>
  <si>
    <t>260 days</t>
  </si>
  <si>
    <t>ERE</t>
  </si>
  <si>
    <t>Transportation $18</t>
  </si>
  <si>
    <t>13% A&amp;G</t>
  </si>
  <si>
    <t>FT</t>
  </si>
  <si>
    <t>PTO</t>
  </si>
  <si>
    <t>holiday</t>
  </si>
  <si>
    <t>training</t>
  </si>
  <si>
    <t>days</t>
  </si>
  <si>
    <t>supervision</t>
  </si>
  <si>
    <t>PT</t>
  </si>
  <si>
    <t>hours</t>
  </si>
  <si>
    <t>7PT and 3Ft avg</t>
  </si>
  <si>
    <t>SL/ with Trans</t>
  </si>
  <si>
    <t xml:space="preserve">Indirect </t>
  </si>
  <si>
    <t>Hourly Rate</t>
  </si>
  <si>
    <t>SE job seeking time 52 days a year no consumer contact</t>
  </si>
  <si>
    <t>time and a half</t>
  </si>
  <si>
    <t>available hours</t>
  </si>
  <si>
    <t>7 and 3</t>
  </si>
  <si>
    <t>4 and 6</t>
  </si>
  <si>
    <t>ASSUMPTIONS</t>
  </si>
  <si>
    <t>4PT and 6 FT</t>
  </si>
  <si>
    <t>6FT and 4FT Day</t>
  </si>
  <si>
    <t>non-billable</t>
  </si>
  <si>
    <t>Productivity rate</t>
  </si>
  <si>
    <t>Professional</t>
  </si>
  <si>
    <t>1.09 productivity</t>
  </si>
  <si>
    <t>Day</t>
  </si>
  <si>
    <t>Res</t>
  </si>
  <si>
    <t>Long-term FU</t>
  </si>
  <si>
    <t>FT primary</t>
  </si>
  <si>
    <t xml:space="preserve">Indirect varies based on the following:  Companion and Respite services do not include habilitation programming supplies, activity fees for staff or RN/LPN oversight/services for staff so are set lower.  </t>
  </si>
  <si>
    <t>Utlized ICF/IDD rate methodology agreement at 20% Employee Fringe and 13% General and Administrative rates and initial Indirect base rate of 8% for 4 person ICF homes.</t>
  </si>
  <si>
    <t xml:space="preserve">Productivity calculation applied for PTO and holidays at a variable rate depending upon the mix of likely FT and PT staff employed for the type of service.   </t>
  </si>
  <si>
    <t>Group rates assume a 15% vacancy rate for an individual who may not be present to support the 1:4 staffing ratio on any given day.</t>
  </si>
  <si>
    <t>Hours available/Productivity</t>
  </si>
  <si>
    <t xml:space="preserve">Day Hab and Pre Voc assume 20% non-billable time (6 hour service day vs. 8 hour employee day).  Professional SE assumes 15% non-billable for 52 days of job development without a person </t>
  </si>
  <si>
    <t xml:space="preserve">and additional daily non-billable time.  </t>
  </si>
  <si>
    <t>Group SE assumes one hour of non-billable time per day.</t>
  </si>
  <si>
    <t xml:space="preserve">transportation during job exploration, development, assessment, and uniforms, program supplies, staff office space, etc.  Day Hab and Pre-Voc 20% for facility or </t>
  </si>
  <si>
    <t>transportation if community based and Supervision,Q, LPN/RN.</t>
  </si>
  <si>
    <t>LPN-1</t>
  </si>
  <si>
    <t>DSP-2</t>
  </si>
  <si>
    <t>LPN-1 O/T PTO</t>
  </si>
  <si>
    <t>Res Hab int 24 LPN</t>
  </si>
  <si>
    <t xml:space="preserve">4 </t>
  </si>
  <si>
    <t>awake</t>
  </si>
  <si>
    <t>SL 1:3 awake</t>
  </si>
  <si>
    <t>SL 1:3 asleep</t>
  </si>
  <si>
    <t>DSP- sleep</t>
  </si>
  <si>
    <t>DSP-sleep O/T Vac Hrs</t>
  </si>
  <si>
    <t>asleep</t>
  </si>
  <si>
    <t>DSP-3 O/T Vac HRS</t>
  </si>
  <si>
    <t>DSP-3 O/T Vac Hrs</t>
  </si>
  <si>
    <t>SL Mod 3 persons</t>
  </si>
  <si>
    <t xml:space="preserve">SL Basic 3 </t>
  </si>
  <si>
    <t>w/trans</t>
  </si>
  <si>
    <t>SL Intensive for 3</t>
  </si>
  <si>
    <t>level 1</t>
  </si>
  <si>
    <t>level 2</t>
  </si>
  <si>
    <t>SL Basic 2</t>
  </si>
  <si>
    <t>SL Moderate 2 persons</t>
  </si>
  <si>
    <t>SL Intensive 2 persons</t>
  </si>
  <si>
    <t>SL Intens 3</t>
  </si>
  <si>
    <t>Intensive 3 level 1</t>
  </si>
  <si>
    <t>base 1</t>
  </si>
  <si>
    <t>Intensive 3 level 2</t>
  </si>
  <si>
    <t>SL 1:2 awake</t>
  </si>
  <si>
    <t>SL Mod 3 awake</t>
  </si>
  <si>
    <t>SL Mod 3 sleep</t>
  </si>
  <si>
    <t>SL Mod 2 level 1</t>
  </si>
  <si>
    <t>SL Mod 2 level 2</t>
  </si>
  <si>
    <t>4 bed</t>
  </si>
  <si>
    <t>5/6 bed</t>
  </si>
  <si>
    <t>4 person</t>
  </si>
  <si>
    <t>6 person</t>
  </si>
  <si>
    <t>Intensive 3 LPN</t>
  </si>
  <si>
    <t>SL Intens/LPN for 3</t>
  </si>
  <si>
    <t>LPN -1</t>
  </si>
  <si>
    <t>LPN-1 OT/PTO</t>
  </si>
  <si>
    <t>1 to 1 asleep</t>
  </si>
  <si>
    <t xml:space="preserve">MODEL with 1.20 benefits and PTO/HOL; 8/13% Other health care; 13% for ADMIN ACROSS THE BOARD; </t>
  </si>
  <si>
    <t>Current Rate (Eff. Jan /1/2013)</t>
  </si>
  <si>
    <t>New Rate  (Eff. Jan /1/2014)</t>
  </si>
  <si>
    <t>% Change</t>
  </si>
  <si>
    <t xml:space="preserve">SE </t>
  </si>
  <si>
    <t>Para Professional SE</t>
  </si>
  <si>
    <t>New Rate  (13.70+1.3%)</t>
  </si>
  <si>
    <t>Individualized Day</t>
  </si>
  <si>
    <t>1:1 rate</t>
  </si>
  <si>
    <t>Companion</t>
  </si>
  <si>
    <t>per shift</t>
  </si>
  <si>
    <t>DSP -4 O/T PTO</t>
  </si>
  <si>
    <t>1:3 all times</t>
  </si>
  <si>
    <t>DSP -4 O/T HRS</t>
  </si>
  <si>
    <t>DSP-5</t>
  </si>
  <si>
    <t>DSP-5 O/T PTO</t>
  </si>
  <si>
    <t>DSP-6</t>
  </si>
  <si>
    <t>DSP-6 O/T PTO</t>
  </si>
  <si>
    <t xml:space="preserve">DSP-4 </t>
  </si>
  <si>
    <t xml:space="preserve">DSP-5 </t>
  </si>
  <si>
    <t>DSP -5 O/T PTO</t>
  </si>
  <si>
    <t>Per Diem</t>
  </si>
  <si>
    <t>DSP -5 O/T HRS</t>
  </si>
  <si>
    <t>DSP -6 O/T HRS</t>
  </si>
  <si>
    <t xml:space="preserve">DSP-7 </t>
  </si>
  <si>
    <t>DSP-7 O/T PTO</t>
  </si>
  <si>
    <t>DSP -6 O/T PTO</t>
  </si>
  <si>
    <t>DSP-4 O/T Vac HRS</t>
  </si>
  <si>
    <t>DSP-4 O/T Vac Hrs</t>
  </si>
  <si>
    <t>LPN-2 O/T HRS</t>
  </si>
  <si>
    <t>Basic Level 2</t>
  </si>
  <si>
    <t>Basic Level 1</t>
  </si>
  <si>
    <t>Intensive 1</t>
  </si>
  <si>
    <t>2 Person</t>
  </si>
  <si>
    <t>DSP -3 O/T/Vac HRS</t>
  </si>
  <si>
    <t>Difference</t>
  </si>
  <si>
    <t>FY 2015 Living Wage; correction to OT/Holiday; adjustment for staff time in transportation; reduction in DSP hours during 1st shift</t>
  </si>
  <si>
    <t>New WY 3 Rate</t>
  </si>
  <si>
    <t>WY 2 (FY14)</t>
  </si>
  <si>
    <t>Notes: Additional notes on direct care staffing patterns and rates are included in each acuity tab in this document. Other health care costs are set at 8% (for 4-bed homes) and 13% (for six-bed homes) of the direct services rates. Non-personnel operations is based on reported FY10 costs for the line-items included in this cost center, inflated 12 percent. Transportation costs were initially based on DHCF's transportation broker's reported costs and revised downward (from $35.40 to $18) based on provider request.   Added costs of 8 hours per day DSP to transportation costs. Administration costs are calculated as 13 percent of all other costs for every rate.</t>
  </si>
  <si>
    <t>QIDDP</t>
  </si>
  <si>
    <t>HM</t>
  </si>
  <si>
    <t>Annual</t>
  </si>
  <si>
    <t>Salary</t>
  </si>
  <si>
    <t xml:space="preserve">transportation staffing add on for  </t>
  </si>
  <si>
    <t>3 person</t>
  </si>
  <si>
    <t>2 person</t>
  </si>
  <si>
    <t>1 person</t>
  </si>
  <si>
    <t xml:space="preserve">SL is set at 16% to acount for those additional costs (nursing and supervision is not included in the hourly rate method so is added to indirect).  Supported Employment set at 15% to account for </t>
  </si>
  <si>
    <t>Res Hab 24 hour LPN</t>
  </si>
  <si>
    <t>Basic</t>
  </si>
  <si>
    <t>Increase House Manager, QDDP, RN and LPN by 1.47% and overall rate should be 13.80</t>
  </si>
  <si>
    <t>Old</t>
  </si>
  <si>
    <t>New</t>
  </si>
  <si>
    <t>Old rate</t>
  </si>
  <si>
    <t>New rate</t>
  </si>
  <si>
    <t>% Difference</t>
  </si>
  <si>
    <t>Per diem/347 day</t>
  </si>
  <si>
    <t>15 minute unit</t>
  </si>
  <si>
    <t>ratio 1:4</t>
  </si>
  <si>
    <t>ratio 1:2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</si>
</sst>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00_);_(* \(#,##0.000\);_(* &quot;-&quot;??_);_(@_)"/>
    <numFmt numFmtId="167" formatCode="&quot;$&quot;#,##0.0000_);[Red]\(&quot;$&quot;#,##0.0000\)"/>
    <numFmt numFmtId="168" formatCode="_([$$-409]* #,##0.00_);_([$$-409]* \(#,##0.00\);_([$$-409]* &quot;-&quot;??_);_(@_)"/>
    <numFmt numFmtId="169" formatCode="0.0%"/>
    <numFmt numFmtId="170" formatCode="0.000%"/>
    <numFmt numFmtId="171" formatCode="0.00000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3"/>
      <name val="Calibri"/>
      <family val="2"/>
      <scheme val="minor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00">
    <xf numFmtId="0" fontId="0" fillId="0" borderId="0" xfId="0"/>
    <xf numFmtId="2" fontId="0" fillId="0" borderId="0" xfId="0" applyNumberFormat="1"/>
    <xf numFmtId="44" fontId="0" fillId="0" borderId="0" xfId="0" applyNumberFormat="1"/>
    <xf numFmtId="0" fontId="0" fillId="0" borderId="1" xfId="0" applyBorder="1"/>
    <xf numFmtId="16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4" fontId="2" fillId="0" borderId="1" xfId="2" applyFont="1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2" fontId="4" fillId="0" borderId="0" xfId="0" applyNumberFormat="1" applyFont="1"/>
    <xf numFmtId="44" fontId="4" fillId="0" borderId="0" xfId="0" applyNumberFormat="1" applyFont="1"/>
    <xf numFmtId="0" fontId="4" fillId="0" borderId="0" xfId="0" applyFont="1"/>
    <xf numFmtId="0" fontId="0" fillId="0" borderId="0" xfId="0" applyFill="1"/>
    <xf numFmtId="0" fontId="0" fillId="0" borderId="0" xfId="0" applyBorder="1"/>
    <xf numFmtId="8" fontId="3" fillId="2" borderId="1" xfId="0" applyNumberFormat="1" applyFont="1" applyFill="1" applyBorder="1"/>
    <xf numFmtId="167" fontId="0" fillId="0" borderId="0" xfId="0" applyNumberFormat="1"/>
    <xf numFmtId="8" fontId="3" fillId="0" borderId="0" xfId="0" applyNumberFormat="1" applyFont="1" applyFill="1" applyBorder="1"/>
    <xf numFmtId="0" fontId="0" fillId="0" borderId="0" xfId="0" applyFill="1" applyBorder="1"/>
    <xf numFmtId="8" fontId="0" fillId="0" borderId="0" xfId="0" applyNumberFormat="1" applyFill="1" applyBorder="1"/>
    <xf numFmtId="0" fontId="0" fillId="0" borderId="0" xfId="0" applyFill="1" applyBorder="1" applyAlignment="1">
      <alignment wrapText="1"/>
    </xf>
    <xf numFmtId="44" fontId="2" fillId="0" borderId="0" xfId="2" applyFont="1" applyFill="1" applyBorder="1"/>
    <xf numFmtId="164" fontId="2" fillId="0" borderId="0" xfId="1" applyNumberFormat="1" applyFont="1" applyFill="1" applyBorder="1"/>
    <xf numFmtId="0" fontId="3" fillId="0" borderId="0" xfId="0" applyFont="1" applyFill="1" applyBorder="1"/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2" fillId="0" borderId="0" xfId="2" applyFont="1" applyBorder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5" fillId="0" borderId="0" xfId="1" applyNumberFormat="1" applyFont="1" applyFill="1" applyBorder="1"/>
    <xf numFmtId="0" fontId="6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11" fillId="0" borderId="0" xfId="0" applyFont="1"/>
    <xf numFmtId="16" fontId="0" fillId="0" borderId="0" xfId="0" applyNumberFormat="1"/>
    <xf numFmtId="9" fontId="11" fillId="0" borderId="0" xfId="0" applyNumberFormat="1" applyFont="1"/>
    <xf numFmtId="44" fontId="0" fillId="0" borderId="0" xfId="2" applyFont="1"/>
    <xf numFmtId="168" fontId="0" fillId="0" borderId="0" xfId="2" applyNumberFormat="1" applyFont="1"/>
    <xf numFmtId="169" fontId="0" fillId="0" borderId="0" xfId="3" applyNumberFormat="1" applyFont="1"/>
    <xf numFmtId="44" fontId="0" fillId="0" borderId="0" xfId="0" applyNumberFormat="1" applyBorder="1"/>
    <xf numFmtId="44" fontId="2" fillId="6" borderId="1" xfId="2" applyFont="1" applyFill="1" applyBorder="1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7" borderId="4" xfId="0" applyNumberFormat="1" applyFill="1" applyBorder="1" applyAlignment="1">
      <alignment horizontal="center" vertical="center"/>
    </xf>
    <xf numFmtId="44" fontId="2" fillId="7" borderId="1" xfId="2" applyFont="1" applyFill="1" applyBorder="1"/>
    <xf numFmtId="8" fontId="0" fillId="7" borderId="1" xfId="0" applyNumberFormat="1" applyFill="1" applyBorder="1"/>
    <xf numFmtId="8" fontId="0" fillId="7" borderId="2" xfId="0" applyNumberFormat="1" applyFill="1" applyBorder="1"/>
    <xf numFmtId="44" fontId="0" fillId="7" borderId="6" xfId="0" applyNumberFormat="1" applyFill="1" applyBorder="1"/>
    <xf numFmtId="49" fontId="0" fillId="7" borderId="5" xfId="0" applyNumberFormat="1" applyFill="1" applyBorder="1" applyAlignment="1">
      <alignment horizontal="center" vertical="center"/>
    </xf>
    <xf numFmtId="0" fontId="1" fillId="0" borderId="0" xfId="0" applyFont="1"/>
    <xf numFmtId="164" fontId="8" fillId="0" borderId="1" xfId="1" applyNumberFormat="1" applyFont="1" applyBorder="1" applyAlignment="1">
      <alignment horizontal="center"/>
    </xf>
    <xf numFmtId="9" fontId="0" fillId="0" borderId="0" xfId="3" applyFont="1"/>
    <xf numFmtId="170" fontId="0" fillId="0" borderId="0" xfId="3" applyNumberFormat="1" applyFont="1"/>
    <xf numFmtId="2" fontId="0" fillId="4" borderId="1" xfId="0" applyNumberFormat="1" applyFill="1" applyBorder="1" applyAlignment="1">
      <alignment horizontal="center" vertical="center"/>
    </xf>
    <xf numFmtId="2" fontId="0" fillId="4" borderId="0" xfId="0" applyNumberFormat="1" applyFill="1"/>
    <xf numFmtId="171" fontId="0" fillId="0" borderId="0" xfId="0" applyNumberFormat="1"/>
    <xf numFmtId="2" fontId="0" fillId="4" borderId="0" xfId="0" applyNumberForma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44" fontId="2" fillId="4" borderId="1" xfId="2" applyFont="1" applyFill="1" applyBorder="1"/>
    <xf numFmtId="0" fontId="1" fillId="8" borderId="16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0" fillId="8" borderId="0" xfId="0" applyFill="1"/>
    <xf numFmtId="0" fontId="1" fillId="8" borderId="0" xfId="0" applyFont="1" applyFill="1" applyBorder="1" applyAlignment="1">
      <alignment horizontal="center" vertical="center" wrapText="1"/>
    </xf>
    <xf numFmtId="170" fontId="0" fillId="8" borderId="0" xfId="3" applyNumberFormat="1" applyFont="1" applyFill="1"/>
    <xf numFmtId="44" fontId="0" fillId="0" borderId="2" xfId="0" applyNumberFormat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 wrapText="1"/>
    </xf>
    <xf numFmtId="0" fontId="16" fillId="8" borderId="17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4" fontId="2" fillId="0" borderId="1" xfId="2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0" fillId="4" borderId="0" xfId="0" applyFill="1"/>
    <xf numFmtId="0" fontId="9" fillId="0" borderId="0" xfId="0" applyFont="1"/>
    <xf numFmtId="0" fontId="0" fillId="9" borderId="0" xfId="0" applyFill="1"/>
    <xf numFmtId="8" fontId="0" fillId="7" borderId="1" xfId="0" applyNumberFormat="1" applyFill="1" applyBorder="1"/>
    <xf numFmtId="8" fontId="0" fillId="7" borderId="2" xfId="0" applyNumberFormat="1" applyFill="1" applyBorder="1"/>
    <xf numFmtId="44" fontId="0" fillId="7" borderId="6" xfId="0" applyNumberFormat="1" applyFill="1" applyBorder="1"/>
    <xf numFmtId="2" fontId="0" fillId="9" borderId="1" xfId="0" applyNumberFormat="1" applyFill="1" applyBorder="1" applyAlignment="1">
      <alignment horizontal="center" vertical="center"/>
    </xf>
    <xf numFmtId="44" fontId="2" fillId="9" borderId="1" xfId="2" applyFont="1" applyFill="1" applyBorder="1"/>
    <xf numFmtId="44" fontId="17" fillId="9" borderId="1" xfId="2" applyFont="1" applyFill="1" applyBorder="1"/>
    <xf numFmtId="8" fontId="0" fillId="9" borderId="1" xfId="0" applyNumberFormat="1" applyFill="1" applyBorder="1"/>
    <xf numFmtId="44" fontId="0" fillId="9" borderId="1" xfId="2" applyFont="1" applyFill="1" applyBorder="1"/>
    <xf numFmtId="0" fontId="0" fillId="9" borderId="0" xfId="0" applyFill="1" applyBorder="1"/>
    <xf numFmtId="44" fontId="0" fillId="9" borderId="0" xfId="2" applyFont="1" applyFill="1" applyBorder="1"/>
    <xf numFmtId="8" fontId="3" fillId="9" borderId="1" xfId="0" applyNumberFormat="1" applyFont="1" applyFill="1" applyBorder="1"/>
    <xf numFmtId="49" fontId="0" fillId="9" borderId="4" xfId="0" applyNumberFormat="1" applyFill="1" applyBorder="1" applyAlignment="1">
      <alignment horizontal="center" vertical="center"/>
    </xf>
    <xf numFmtId="8" fontId="0" fillId="9" borderId="2" xfId="0" applyNumberFormat="1" applyFill="1" applyBorder="1"/>
    <xf numFmtId="44" fontId="0" fillId="9" borderId="6" xfId="0" applyNumberFormat="1" applyFill="1" applyBorder="1"/>
    <xf numFmtId="49" fontId="0" fillId="9" borderId="5" xfId="0" applyNumberFormat="1" applyFill="1" applyBorder="1" applyAlignment="1">
      <alignment horizontal="center" vertical="center"/>
    </xf>
    <xf numFmtId="44" fontId="12" fillId="9" borderId="0" xfId="2" applyFont="1" applyFill="1" applyBorder="1"/>
    <xf numFmtId="6" fontId="0" fillId="0" borderId="0" xfId="0" applyNumberFormat="1" applyFill="1" applyBorder="1"/>
    <xf numFmtId="6" fontId="0" fillId="0" borderId="0" xfId="0" applyNumberFormat="1" applyFill="1" applyBorder="1" applyAlignment="1">
      <alignment wrapText="1"/>
    </xf>
    <xf numFmtId="0" fontId="9" fillId="0" borderId="0" xfId="0" applyFont="1" applyFill="1" applyBorder="1"/>
    <xf numFmtId="0" fontId="12" fillId="0" borderId="0" xfId="0" applyFont="1"/>
    <xf numFmtId="0" fontId="0" fillId="0" borderId="0" xfId="0" applyFill="1" applyBorder="1" applyAlignment="1">
      <alignment horizontal="center" vertical="center"/>
    </xf>
    <xf numFmtId="44" fontId="0" fillId="0" borderId="19" xfId="2" applyFont="1" applyBorder="1"/>
    <xf numFmtId="0" fontId="0" fillId="0" borderId="20" xfId="0" applyBorder="1"/>
    <xf numFmtId="44" fontId="0" fillId="0" borderId="21" xfId="2" applyFont="1" applyBorder="1"/>
    <xf numFmtId="0" fontId="0" fillId="0" borderId="22" xfId="0" applyBorder="1"/>
    <xf numFmtId="10" fontId="0" fillId="0" borderId="23" xfId="3" applyNumberFormat="1" applyFont="1" applyBorder="1"/>
    <xf numFmtId="0" fontId="0" fillId="0" borderId="24" xfId="0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4" borderId="25" xfId="0" applyNumberFormat="1" applyFill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10" fontId="0" fillId="0" borderId="29" xfId="3" applyNumberFormat="1" applyFont="1" applyBorder="1"/>
    <xf numFmtId="0" fontId="0" fillId="0" borderId="30" xfId="0" applyBorder="1"/>
    <xf numFmtId="2" fontId="0" fillId="0" borderId="31" xfId="0" applyNumberFormat="1" applyBorder="1"/>
    <xf numFmtId="0" fontId="0" fillId="0" borderId="25" xfId="0" applyBorder="1"/>
    <xf numFmtId="2" fontId="0" fillId="0" borderId="32" xfId="0" applyNumberFormat="1" applyBorder="1"/>
    <xf numFmtId="44" fontId="0" fillId="0" borderId="0" xfId="2" applyFont="1" applyFill="1"/>
    <xf numFmtId="20" fontId="0" fillId="0" borderId="0" xfId="0" applyNumberFormat="1" applyFill="1"/>
    <xf numFmtId="20" fontId="0" fillId="0" borderId="0" xfId="2" applyNumberFormat="1" applyFont="1" applyFill="1"/>
    <xf numFmtId="0" fontId="19" fillId="0" borderId="0" xfId="0" applyFont="1"/>
    <xf numFmtId="0" fontId="18" fillId="0" borderId="0" xfId="0" applyFont="1"/>
    <xf numFmtId="44" fontId="18" fillId="0" borderId="0" xfId="2" applyFont="1" applyFill="1"/>
    <xf numFmtId="44" fontId="16" fillId="0" borderId="0" xfId="0" applyNumberFormat="1" applyFont="1" applyFill="1"/>
    <xf numFmtId="0" fontId="16" fillId="0" borderId="0" xfId="0" applyFont="1" applyFill="1"/>
    <xf numFmtId="44" fontId="9" fillId="0" borderId="0" xfId="2" applyFont="1" applyFill="1"/>
    <xf numFmtId="2" fontId="16" fillId="0" borderId="0" xfId="0" applyNumberFormat="1" applyFont="1" applyFill="1"/>
    <xf numFmtId="0" fontId="16" fillId="0" borderId="0" xfId="0" applyFont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0" fillId="0" borderId="2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49" fontId="0" fillId="11" borderId="4" xfId="0" applyNumberFormat="1" applyFill="1" applyBorder="1" applyAlignment="1">
      <alignment horizontal="center" vertical="center"/>
    </xf>
    <xf numFmtId="49" fontId="0" fillId="11" borderId="5" xfId="0" applyNumberFormat="1" applyFill="1" applyBorder="1" applyAlignment="1">
      <alignment horizontal="center" vertical="center"/>
    </xf>
    <xf numFmtId="49" fontId="0" fillId="6" borderId="4" xfId="0" applyNumberFormat="1" applyFill="1" applyBorder="1" applyAlignment="1">
      <alignment horizontal="center" vertical="center"/>
    </xf>
    <xf numFmtId="49" fontId="0" fillId="6" borderId="5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49" fontId="0" fillId="9" borderId="4" xfId="0" applyNumberFormat="1" applyFill="1" applyBorder="1" applyAlignment="1">
      <alignment horizontal="center" vertical="center"/>
    </xf>
    <xf numFmtId="49" fontId="0" fillId="9" borderId="5" xfId="0" applyNumberFormat="1" applyFill="1" applyBorder="1" applyAlignment="1">
      <alignment horizontal="center" vertical="center"/>
    </xf>
    <xf numFmtId="49" fontId="0" fillId="10" borderId="4" xfId="0" applyNumberFormat="1" applyFill="1" applyBorder="1" applyAlignment="1">
      <alignment horizontal="center" vertical="center"/>
    </xf>
    <xf numFmtId="49" fontId="0" fillId="10" borderId="5" xfId="0" applyNumberForma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20" fontId="0" fillId="9" borderId="1" xfId="0" applyNumberFormat="1" applyFill="1" applyBorder="1" applyAlignment="1">
      <alignment horizontal="center" vertical="center" wrapText="1"/>
    </xf>
    <xf numFmtId="0" fontId="0" fillId="9" borderId="1" xfId="0" applyNumberForma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4" fontId="2" fillId="9" borderId="4" xfId="2" applyFont="1" applyFill="1" applyBorder="1" applyAlignment="1">
      <alignment horizontal="center" wrapText="1"/>
    </xf>
    <xf numFmtId="44" fontId="2" fillId="9" borderId="3" xfId="2" applyFont="1" applyFill="1" applyBorder="1" applyAlignment="1">
      <alignment horizontal="center" wrapText="1"/>
    </xf>
    <xf numFmtId="44" fontId="2" fillId="9" borderId="5" xfId="2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9" borderId="1" xfId="0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27"/>
  <sheetViews>
    <sheetView zoomScale="85" zoomScaleNormal="85" workbookViewId="0">
      <selection activeCell="K15" sqref="K15"/>
    </sheetView>
  </sheetViews>
  <sheetFormatPr defaultColWidth="8.85546875" defaultRowHeight="15" x14ac:dyDescent="0.25"/>
  <cols>
    <col min="1" max="1" width="20.28515625" customWidth="1"/>
    <col min="6" max="6" width="10.85546875" customWidth="1"/>
    <col min="7" max="7" width="9.42578125" bestFit="1" customWidth="1"/>
    <col min="8" max="8" width="9.42578125" customWidth="1"/>
    <col min="11" max="11" width="13.42578125" customWidth="1"/>
    <col min="12" max="12" width="10.7109375" customWidth="1"/>
    <col min="13" max="13" width="14.7109375" customWidth="1"/>
  </cols>
  <sheetData>
    <row r="2" spans="1:18" ht="30" x14ac:dyDescent="0.25">
      <c r="A2" s="9"/>
      <c r="B2" s="16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7" t="s">
        <v>19</v>
      </c>
      <c r="I2" s="17" t="s">
        <v>10</v>
      </c>
      <c r="J2" s="17" t="s">
        <v>27</v>
      </c>
      <c r="K2" s="17" t="s">
        <v>23</v>
      </c>
      <c r="L2" s="17" t="s">
        <v>22</v>
      </c>
      <c r="M2" s="17" t="s">
        <v>24</v>
      </c>
      <c r="P2" t="s">
        <v>210</v>
      </c>
      <c r="Q2">
        <v>1.4705882352941178E-2</v>
      </c>
      <c r="R2" t="s">
        <v>211</v>
      </c>
    </row>
    <row r="3" spans="1:18" x14ac:dyDescent="0.25">
      <c r="A3" s="9" t="s">
        <v>6</v>
      </c>
      <c r="B3" s="9">
        <v>8</v>
      </c>
      <c r="C3" s="9">
        <v>8</v>
      </c>
      <c r="D3" s="9">
        <v>8</v>
      </c>
      <c r="E3" s="9">
        <f>SUM(B3:D3)</f>
        <v>24</v>
      </c>
      <c r="F3" s="9">
        <v>116</v>
      </c>
      <c r="G3" s="19">
        <f>+E3*F3</f>
        <v>2784</v>
      </c>
      <c r="H3" s="11">
        <f t="shared" ref="H3:H8" si="0">+G3/2080</f>
        <v>1.3384615384615384</v>
      </c>
      <c r="I3" s="77">
        <f>'one to one'!$O$3</f>
        <v>13.8</v>
      </c>
      <c r="J3" s="12">
        <v>1.2</v>
      </c>
      <c r="K3" s="13">
        <f t="shared" ref="K3:K8" si="1">G3*I3*J3</f>
        <v>46103.040000000001</v>
      </c>
      <c r="L3" s="14">
        <v>0.25</v>
      </c>
      <c r="M3" s="15">
        <f>L3*K3</f>
        <v>11525.76</v>
      </c>
      <c r="O3" t="s">
        <v>11</v>
      </c>
      <c r="P3">
        <v>22.85</v>
      </c>
      <c r="Q3">
        <v>0.33602941176470597</v>
      </c>
      <c r="R3" s="60">
        <v>23.186029411764707</v>
      </c>
    </row>
    <row r="4" spans="1:18" x14ac:dyDescent="0.25">
      <c r="A4" s="9" t="s">
        <v>16</v>
      </c>
      <c r="B4" s="9">
        <v>0.5</v>
      </c>
      <c r="C4" s="9">
        <v>8</v>
      </c>
      <c r="D4" s="9">
        <v>8</v>
      </c>
      <c r="E4" s="9">
        <f>SUM(B4:D4)</f>
        <v>16.5</v>
      </c>
      <c r="F4" s="9">
        <v>249</v>
      </c>
      <c r="G4" s="19">
        <f>+E4*F4</f>
        <v>4108.5</v>
      </c>
      <c r="H4" s="11">
        <f>+G4/2080</f>
        <v>1.9752403846153845</v>
      </c>
      <c r="I4" s="77">
        <f>'one to one'!$O$3</f>
        <v>13.8</v>
      </c>
      <c r="J4" s="12">
        <v>1.2</v>
      </c>
      <c r="K4" s="13">
        <f>G4*I4*J4</f>
        <v>68036.759999999995</v>
      </c>
      <c r="L4" s="14">
        <v>0.25</v>
      </c>
      <c r="M4" s="15">
        <f>L4*K4</f>
        <v>17009.189999999999</v>
      </c>
      <c r="O4" t="s">
        <v>12</v>
      </c>
      <c r="P4">
        <v>36.61</v>
      </c>
      <c r="Q4">
        <v>0.53838235294117653</v>
      </c>
      <c r="R4" s="60">
        <v>37.148382352941177</v>
      </c>
    </row>
    <row r="5" spans="1:18" x14ac:dyDescent="0.25">
      <c r="A5" s="9" t="s">
        <v>11</v>
      </c>
      <c r="B5" s="9">
        <v>4</v>
      </c>
      <c r="C5" s="9"/>
      <c r="D5" s="9"/>
      <c r="E5" s="9">
        <v>4</v>
      </c>
      <c r="F5" s="9">
        <v>365</v>
      </c>
      <c r="G5" s="19">
        <f>+E5*F5</f>
        <v>1460</v>
      </c>
      <c r="H5" s="11">
        <f t="shared" si="0"/>
        <v>0.70192307692307687</v>
      </c>
      <c r="I5" s="12">
        <v>23.19</v>
      </c>
      <c r="J5" s="12">
        <v>1.2</v>
      </c>
      <c r="K5" s="13">
        <f t="shared" si="1"/>
        <v>40628.879999999997</v>
      </c>
      <c r="L5" s="14">
        <f>1/4</f>
        <v>0.25</v>
      </c>
      <c r="M5" s="15">
        <f t="shared" ref="M5:M11" si="2">L5*K5</f>
        <v>10157.219999999999</v>
      </c>
      <c r="O5" t="s">
        <v>13</v>
      </c>
      <c r="P5">
        <v>31.38</v>
      </c>
      <c r="Q5">
        <v>0.46147058823529413</v>
      </c>
      <c r="R5" s="60">
        <v>31.841470588235293</v>
      </c>
    </row>
    <row r="6" spans="1:18" x14ac:dyDescent="0.25">
      <c r="A6" s="9" t="s">
        <v>12</v>
      </c>
      <c r="B6" s="9">
        <v>8</v>
      </c>
      <c r="C6" s="9"/>
      <c r="D6" s="9"/>
      <c r="E6" s="9"/>
      <c r="F6" s="9"/>
      <c r="G6" s="19">
        <v>2080</v>
      </c>
      <c r="H6" s="11">
        <f t="shared" si="0"/>
        <v>1</v>
      </c>
      <c r="I6" s="12">
        <v>37.15</v>
      </c>
      <c r="J6" s="12">
        <v>1.2</v>
      </c>
      <c r="K6" s="13">
        <f t="shared" si="1"/>
        <v>92726.399999999994</v>
      </c>
      <c r="L6" s="14">
        <f>1/12</f>
        <v>8.3333333333333329E-2</v>
      </c>
      <c r="M6" s="15">
        <f t="shared" si="2"/>
        <v>7727.1999999999989</v>
      </c>
      <c r="O6" t="s">
        <v>14</v>
      </c>
      <c r="P6">
        <v>23.53</v>
      </c>
      <c r="Q6">
        <v>0.34602941176470592</v>
      </c>
      <c r="R6" s="60">
        <v>23.876029411764708</v>
      </c>
    </row>
    <row r="7" spans="1:18" x14ac:dyDescent="0.25">
      <c r="A7" s="9" t="s">
        <v>13</v>
      </c>
      <c r="B7" s="9">
        <v>8</v>
      </c>
      <c r="C7" s="9"/>
      <c r="D7" s="9"/>
      <c r="E7" s="9"/>
      <c r="F7" s="9"/>
      <c r="G7" s="19">
        <v>2080</v>
      </c>
      <c r="H7" s="11">
        <f t="shared" si="0"/>
        <v>1</v>
      </c>
      <c r="I7" s="77">
        <v>31.84</v>
      </c>
      <c r="J7" s="12">
        <v>1.2</v>
      </c>
      <c r="K7" s="13">
        <f t="shared" si="1"/>
        <v>79472.639999999999</v>
      </c>
      <c r="L7" s="14">
        <f>1/12</f>
        <v>8.3333333333333329E-2</v>
      </c>
      <c r="M7" s="15">
        <f t="shared" si="2"/>
        <v>6622.7199999999993</v>
      </c>
    </row>
    <row r="8" spans="1:18" x14ac:dyDescent="0.25">
      <c r="A8" s="9" t="s">
        <v>14</v>
      </c>
      <c r="B8" s="9">
        <v>8</v>
      </c>
      <c r="C8" s="9"/>
      <c r="D8" s="9"/>
      <c r="E8" s="9"/>
      <c r="F8" s="9"/>
      <c r="G8" s="19">
        <v>2080</v>
      </c>
      <c r="H8" s="11">
        <f t="shared" si="0"/>
        <v>1</v>
      </c>
      <c r="I8" s="81">
        <v>23.88</v>
      </c>
      <c r="J8" s="12">
        <v>1.2</v>
      </c>
      <c r="K8" s="13">
        <f t="shared" si="1"/>
        <v>59604.479999999996</v>
      </c>
      <c r="L8" s="14">
        <f>1/12</f>
        <v>8.3333333333333329E-2</v>
      </c>
      <c r="M8" s="15">
        <f t="shared" si="2"/>
        <v>4967.0399999999991</v>
      </c>
    </row>
    <row r="9" spans="1:18" x14ac:dyDescent="0.25">
      <c r="A9" s="9" t="s">
        <v>43</v>
      </c>
      <c r="B9" s="9">
        <v>124</v>
      </c>
      <c r="C9" s="9"/>
      <c r="D9" s="9"/>
      <c r="E9" s="9"/>
      <c r="F9" s="9">
        <f>SUM(B9:D9)</f>
        <v>124</v>
      </c>
      <c r="G9" s="74">
        <f>H3*F9</f>
        <v>165.96923076923076</v>
      </c>
      <c r="H9" s="12"/>
      <c r="I9" s="77">
        <f>'one to one'!$O$3</f>
        <v>13.8</v>
      </c>
      <c r="J9" s="12">
        <v>1.1200000000000001</v>
      </c>
      <c r="K9" s="13">
        <f>G9*I9*J9*H3</f>
        <v>3433.448884260355</v>
      </c>
      <c r="L9" s="14">
        <f>1/4</f>
        <v>0.25</v>
      </c>
      <c r="M9" s="15">
        <f t="shared" ref="M9" si="3">L9*K9</f>
        <v>858.36222106508876</v>
      </c>
    </row>
    <row r="10" spans="1:18" x14ac:dyDescent="0.25">
      <c r="A10" s="9" t="s">
        <v>42</v>
      </c>
      <c r="B10" s="9">
        <v>124</v>
      </c>
      <c r="C10" s="9"/>
      <c r="D10" s="9"/>
      <c r="E10" s="9"/>
      <c r="F10" s="9">
        <f>SUM(B10:D10)</f>
        <v>124</v>
      </c>
      <c r="G10" s="74">
        <f>H4*F10</f>
        <v>244.92980769230769</v>
      </c>
      <c r="H10" s="12"/>
      <c r="I10" s="77">
        <f>'one to one'!$O$3</f>
        <v>13.8</v>
      </c>
      <c r="J10" s="12">
        <v>1.1200000000000001</v>
      </c>
      <c r="K10" s="13">
        <f>G10*I10*J10*H4</f>
        <v>7477.539346131658</v>
      </c>
      <c r="L10" s="14">
        <f>1/4</f>
        <v>0.25</v>
      </c>
      <c r="M10" s="15">
        <f t="shared" si="2"/>
        <v>1869.3848365329145</v>
      </c>
    </row>
    <row r="11" spans="1:18" x14ac:dyDescent="0.25">
      <c r="A11" s="9" t="s">
        <v>44</v>
      </c>
      <c r="B11" s="9">
        <v>124</v>
      </c>
      <c r="C11" s="9"/>
      <c r="D11" s="9"/>
      <c r="E11" s="9"/>
      <c r="F11" s="9">
        <f>SUM(B11:D11)</f>
        <v>124</v>
      </c>
      <c r="G11" s="74">
        <f>H5*F11</f>
        <v>87.038461538461533</v>
      </c>
      <c r="H11" s="12"/>
      <c r="I11" s="12">
        <v>23.19</v>
      </c>
      <c r="J11" s="12">
        <v>1.1200000000000001</v>
      </c>
      <c r="K11" s="13">
        <f>G11*I11*J11*H5</f>
        <v>1586.7901579881659</v>
      </c>
      <c r="L11" s="14">
        <f>1/4</f>
        <v>0.25</v>
      </c>
      <c r="M11" s="15">
        <f t="shared" si="2"/>
        <v>396.69753949704148</v>
      </c>
    </row>
    <row r="12" spans="1:18" x14ac:dyDescent="0.25">
      <c r="I12" s="1"/>
      <c r="J12" s="1"/>
    </row>
    <row r="13" spans="1:18" x14ac:dyDescent="0.25">
      <c r="I13" s="1"/>
      <c r="L13" s="1" t="s">
        <v>20</v>
      </c>
      <c r="M13" s="2">
        <f>SUM(M3:M11)</f>
        <v>61133.574597095045</v>
      </c>
    </row>
    <row r="14" spans="1:18" x14ac:dyDescent="0.25">
      <c r="E14" s="25"/>
      <c r="I14" s="1"/>
      <c r="K14" s="52"/>
      <c r="L14" s="1" t="s">
        <v>215</v>
      </c>
      <c r="M14" s="2">
        <f>M13/347</f>
        <v>176.17744840661396</v>
      </c>
    </row>
    <row r="15" spans="1:18" x14ac:dyDescent="0.25">
      <c r="I15" s="1"/>
      <c r="L15" s="1"/>
      <c r="M15" s="2"/>
    </row>
    <row r="16" spans="1:18" x14ac:dyDescent="0.25">
      <c r="I16" s="1"/>
      <c r="J16" s="1"/>
    </row>
    <row r="17" spans="1:13" x14ac:dyDescent="0.2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x14ac:dyDescent="0.25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x14ac:dyDescent="0.25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x14ac:dyDescent="0.25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x14ac:dyDescent="0.25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x14ac:dyDescent="0.2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x14ac:dyDescent="0.2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x14ac:dyDescent="0.2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x14ac:dyDescent="0.25">
      <c r="A25" s="20"/>
    </row>
    <row r="27" spans="1:13" x14ac:dyDescent="0.25">
      <c r="A27" t="s">
        <v>48</v>
      </c>
    </row>
  </sheetData>
  <mergeCells count="1">
    <mergeCell ref="A17:M24"/>
  </mergeCells>
  <phoneticPr fontId="7" type="noConversion"/>
  <pageMargins left="0.7" right="0.7" top="0.75" bottom="0.75" header="0.3" footer="0.3"/>
  <pageSetup scale="85" orientation="landscape"/>
  <headerFooter>
    <oddHeader>&amp;C&amp;F // &amp;A</oddHead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opLeftCell="A10" zoomScaleNormal="100" workbookViewId="0">
      <selection activeCell="M29" sqref="M29"/>
    </sheetView>
  </sheetViews>
  <sheetFormatPr defaultColWidth="8.85546875" defaultRowHeight="15" x14ac:dyDescent="0.25"/>
  <cols>
    <col min="1" max="1" width="17.28515625" customWidth="1"/>
    <col min="2" max="2" width="9" bestFit="1" customWidth="1"/>
    <col min="5" max="5" width="9" bestFit="1" customWidth="1"/>
    <col min="6" max="6" width="10.85546875" customWidth="1"/>
    <col min="7" max="7" width="10.5703125" bestFit="1" customWidth="1"/>
    <col min="8" max="8" width="9.42578125" customWidth="1"/>
    <col min="9" max="10" width="9" bestFit="1" customWidth="1"/>
    <col min="11" max="11" width="12.5703125" bestFit="1" customWidth="1"/>
    <col min="12" max="12" width="10.7109375" customWidth="1"/>
    <col min="13" max="13" width="14.7109375" customWidth="1"/>
    <col min="14" max="14" width="12.42578125" bestFit="1" customWidth="1"/>
  </cols>
  <sheetData>
    <row r="1" spans="1:19" x14ac:dyDescent="0.25">
      <c r="A1" t="s">
        <v>208</v>
      </c>
    </row>
    <row r="2" spans="1:19" ht="30" x14ac:dyDescent="0.25">
      <c r="A2" s="54" t="s">
        <v>124</v>
      </c>
      <c r="B2" s="16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7" t="s">
        <v>19</v>
      </c>
      <c r="I2" s="17" t="s">
        <v>10</v>
      </c>
      <c r="J2" s="17" t="s">
        <v>27</v>
      </c>
      <c r="K2" s="17" t="s">
        <v>23</v>
      </c>
      <c r="L2" s="17" t="s">
        <v>22</v>
      </c>
      <c r="M2" s="17" t="s">
        <v>24</v>
      </c>
      <c r="Q2" t="s">
        <v>210</v>
      </c>
      <c r="R2">
        <v>1.4705882352941178E-2</v>
      </c>
      <c r="S2" t="s">
        <v>211</v>
      </c>
    </row>
    <row r="3" spans="1:19" x14ac:dyDescent="0.25">
      <c r="A3" s="9" t="s">
        <v>6</v>
      </c>
      <c r="B3" s="9">
        <v>8</v>
      </c>
      <c r="C3" s="9">
        <v>8</v>
      </c>
      <c r="D3" s="9">
        <v>8</v>
      </c>
      <c r="E3" s="9">
        <v>24</v>
      </c>
      <c r="F3" s="9">
        <v>116</v>
      </c>
      <c r="G3" s="10">
        <f>+E3*F3</f>
        <v>2784</v>
      </c>
      <c r="H3" s="11">
        <f t="shared" ref="H3:H8" si="0">+G3/2080</f>
        <v>1.3384615384615384</v>
      </c>
      <c r="I3" s="77">
        <f>'one to one'!$O$3</f>
        <v>13.8</v>
      </c>
      <c r="J3" s="12">
        <v>1.2</v>
      </c>
      <c r="K3" s="13">
        <f t="shared" ref="K3:K8" si="1">G3*I3*J3</f>
        <v>46103.040000000001</v>
      </c>
      <c r="L3" s="14">
        <f>1/3</f>
        <v>0.33333333333333331</v>
      </c>
      <c r="M3" s="15">
        <f t="shared" ref="M3:M11" si="2">L3*K3</f>
        <v>15367.68</v>
      </c>
      <c r="P3" t="s">
        <v>11</v>
      </c>
      <c r="Q3">
        <v>22.85</v>
      </c>
      <c r="R3">
        <v>0.33602941176470597</v>
      </c>
      <c r="S3" s="60">
        <v>23.186029411764707</v>
      </c>
    </row>
    <row r="4" spans="1:19" x14ac:dyDescent="0.25">
      <c r="A4" s="51" t="s">
        <v>16</v>
      </c>
      <c r="B4" s="51">
        <v>2</v>
      </c>
      <c r="C4" s="51">
        <v>8</v>
      </c>
      <c r="D4" s="51">
        <v>8</v>
      </c>
      <c r="E4" s="51">
        <v>18</v>
      </c>
      <c r="F4" s="51">
        <v>249</v>
      </c>
      <c r="G4" s="10">
        <f>+E4*F4</f>
        <v>4482</v>
      </c>
      <c r="H4" s="11">
        <f t="shared" ref="H4" si="3">+G4/2080</f>
        <v>2.1548076923076924</v>
      </c>
      <c r="I4" s="77">
        <f>'one to one'!$O$3</f>
        <v>13.8</v>
      </c>
      <c r="J4" s="12">
        <v>1.2</v>
      </c>
      <c r="K4" s="13">
        <f t="shared" ref="K4" si="4">G4*I4*J4</f>
        <v>74221.919999999998</v>
      </c>
      <c r="L4" s="14">
        <f>1/3</f>
        <v>0.33333333333333331</v>
      </c>
      <c r="M4" s="15">
        <f t="shared" ref="M4" si="5">L4*K4</f>
        <v>24740.639999999999</v>
      </c>
      <c r="P4" t="s">
        <v>12</v>
      </c>
      <c r="Q4">
        <v>36.61</v>
      </c>
      <c r="R4">
        <v>0.53838235294117653</v>
      </c>
      <c r="S4" s="60">
        <v>37.148382352941177</v>
      </c>
    </row>
    <row r="5" spans="1:19" x14ac:dyDescent="0.25">
      <c r="A5" s="9" t="s">
        <v>11</v>
      </c>
      <c r="B5" s="9">
        <v>2</v>
      </c>
      <c r="C5" s="9"/>
      <c r="D5" s="9"/>
      <c r="E5" s="9">
        <v>2</v>
      </c>
      <c r="F5" s="9">
        <v>365</v>
      </c>
      <c r="G5" s="10">
        <f>+E5*F5</f>
        <v>730</v>
      </c>
      <c r="H5" s="11">
        <f t="shared" si="0"/>
        <v>0.35096153846153844</v>
      </c>
      <c r="I5" s="12">
        <v>23.19</v>
      </c>
      <c r="J5" s="12">
        <v>1.2</v>
      </c>
      <c r="K5" s="13">
        <f t="shared" si="1"/>
        <v>20314.439999999999</v>
      </c>
      <c r="L5" s="14">
        <f>1/3</f>
        <v>0.33333333333333331</v>
      </c>
      <c r="M5" s="15">
        <f t="shared" si="2"/>
        <v>6771.48</v>
      </c>
      <c r="P5" t="s">
        <v>13</v>
      </c>
      <c r="Q5">
        <v>31.38</v>
      </c>
      <c r="R5">
        <v>0.46147058823529413</v>
      </c>
      <c r="S5" s="60">
        <v>31.841470588235293</v>
      </c>
    </row>
    <row r="6" spans="1:19" x14ac:dyDescent="0.25">
      <c r="A6" s="9" t="s">
        <v>12</v>
      </c>
      <c r="B6" s="9">
        <v>8</v>
      </c>
      <c r="C6" s="9"/>
      <c r="D6" s="9"/>
      <c r="E6" s="9"/>
      <c r="F6" s="9"/>
      <c r="G6" s="10">
        <v>2080</v>
      </c>
      <c r="H6" s="11">
        <f t="shared" si="0"/>
        <v>1</v>
      </c>
      <c r="I6" s="12">
        <v>37.15</v>
      </c>
      <c r="J6" s="12">
        <v>1.2</v>
      </c>
      <c r="K6" s="13">
        <f t="shared" si="1"/>
        <v>92726.399999999994</v>
      </c>
      <c r="L6" s="14">
        <f>1/12</f>
        <v>8.3333333333333329E-2</v>
      </c>
      <c r="M6" s="15">
        <f t="shared" si="2"/>
        <v>7727.1999999999989</v>
      </c>
      <c r="P6" t="s">
        <v>14</v>
      </c>
      <c r="Q6">
        <v>23.53</v>
      </c>
      <c r="R6">
        <v>0.34602941176470592</v>
      </c>
      <c r="S6" s="60">
        <v>23.876029411764708</v>
      </c>
    </row>
    <row r="7" spans="1:19" x14ac:dyDescent="0.25">
      <c r="A7" s="9" t="s">
        <v>13</v>
      </c>
      <c r="B7" s="9">
        <v>8</v>
      </c>
      <c r="C7" s="9"/>
      <c r="D7" s="9"/>
      <c r="E7" s="9"/>
      <c r="F7" s="9"/>
      <c r="G7" s="10">
        <v>2080</v>
      </c>
      <c r="H7" s="11">
        <f t="shared" si="0"/>
        <v>1</v>
      </c>
      <c r="I7" s="77">
        <v>31.84</v>
      </c>
      <c r="J7" s="12">
        <v>1.2</v>
      </c>
      <c r="K7" s="13">
        <f t="shared" si="1"/>
        <v>79472.639999999999</v>
      </c>
      <c r="L7" s="14">
        <f>1/12</f>
        <v>8.3333333333333329E-2</v>
      </c>
      <c r="M7" s="15">
        <f t="shared" si="2"/>
        <v>6622.7199999999993</v>
      </c>
    </row>
    <row r="8" spans="1:19" x14ac:dyDescent="0.25">
      <c r="A8" s="9" t="s">
        <v>14</v>
      </c>
      <c r="B8" s="9">
        <v>8</v>
      </c>
      <c r="C8" s="9"/>
      <c r="D8" s="9"/>
      <c r="E8" s="9"/>
      <c r="F8" s="9"/>
      <c r="G8" s="10">
        <v>2080</v>
      </c>
      <c r="H8" s="11">
        <f t="shared" si="0"/>
        <v>1</v>
      </c>
      <c r="I8" s="77">
        <v>23.88</v>
      </c>
      <c r="J8" s="12">
        <v>1.2</v>
      </c>
      <c r="K8" s="13">
        <f t="shared" si="1"/>
        <v>59604.479999999996</v>
      </c>
      <c r="L8" s="14">
        <f>1/12</f>
        <v>8.3333333333333329E-2</v>
      </c>
      <c r="M8" s="15">
        <f t="shared" si="2"/>
        <v>4967.0399999999991</v>
      </c>
    </row>
    <row r="9" spans="1:19" x14ac:dyDescent="0.25">
      <c r="A9" s="9" t="s">
        <v>28</v>
      </c>
      <c r="B9" s="9">
        <v>124</v>
      </c>
      <c r="C9" s="9"/>
      <c r="D9" s="9"/>
      <c r="E9" s="9"/>
      <c r="F9" s="9">
        <v>124</v>
      </c>
      <c r="G9" s="74">
        <f>H3*F9</f>
        <v>165.96923076923076</v>
      </c>
      <c r="H9" s="12"/>
      <c r="I9" s="77">
        <f>'one to one'!$O$3</f>
        <v>13.8</v>
      </c>
      <c r="J9" s="12">
        <v>1.1200000000000001</v>
      </c>
      <c r="K9" s="13">
        <f>G9*I9*J9*H3</f>
        <v>3433.448884260355</v>
      </c>
      <c r="L9" s="14">
        <f t="shared" ref="L9:L11" si="6">1/3</f>
        <v>0.33333333333333331</v>
      </c>
      <c r="M9" s="15">
        <f t="shared" si="2"/>
        <v>1144.4829614201183</v>
      </c>
    </row>
    <row r="10" spans="1:19" x14ac:dyDescent="0.25">
      <c r="A10" s="51" t="s">
        <v>67</v>
      </c>
      <c r="B10" s="51">
        <v>124</v>
      </c>
      <c r="C10" s="51"/>
      <c r="D10" s="51"/>
      <c r="E10" s="51"/>
      <c r="F10" s="51">
        <v>124</v>
      </c>
      <c r="G10" s="74">
        <f t="shared" ref="G10:G11" si="7">H4*F10</f>
        <v>267.19615384615383</v>
      </c>
      <c r="H10" s="12"/>
      <c r="I10" s="77">
        <f>'one to one'!$O$3</f>
        <v>13.8</v>
      </c>
      <c r="J10" s="12">
        <v>1.1200000000000001</v>
      </c>
      <c r="K10" s="13">
        <f>G10*I10*J10*H4</f>
        <v>8898.8898003550312</v>
      </c>
      <c r="L10" s="14">
        <f t="shared" si="6"/>
        <v>0.33333333333333331</v>
      </c>
      <c r="M10" s="15">
        <f t="shared" ref="M10" si="8">L10*K10</f>
        <v>2966.2966001183436</v>
      </c>
    </row>
    <row r="11" spans="1:19" x14ac:dyDescent="0.25">
      <c r="A11" s="9" t="s">
        <v>18</v>
      </c>
      <c r="B11" s="9">
        <v>124</v>
      </c>
      <c r="C11" s="9"/>
      <c r="D11" s="9"/>
      <c r="E11" s="9"/>
      <c r="F11" s="9">
        <f>SUM(B11:D11)</f>
        <v>124</v>
      </c>
      <c r="G11" s="74">
        <f t="shared" si="7"/>
        <v>43.519230769230766</v>
      </c>
      <c r="H11" s="12"/>
      <c r="I11" s="12">
        <v>23.19</v>
      </c>
      <c r="J11" s="12">
        <v>1.1200000000000001</v>
      </c>
      <c r="K11" s="13">
        <f>G11*I11*J11*H5</f>
        <v>396.69753949704148</v>
      </c>
      <c r="L11" s="14">
        <f t="shared" si="6"/>
        <v>0.33333333333333331</v>
      </c>
      <c r="M11" s="15">
        <f t="shared" si="2"/>
        <v>132.23251316568047</v>
      </c>
    </row>
    <row r="12" spans="1:19" x14ac:dyDescent="0.25">
      <c r="L12" s="1" t="s">
        <v>20</v>
      </c>
      <c r="M12" s="2">
        <f>SUM(M3:M11)</f>
        <v>70439.772074704131</v>
      </c>
    </row>
    <row r="13" spans="1:19" x14ac:dyDescent="0.25">
      <c r="A13" s="121" t="s">
        <v>208</v>
      </c>
      <c r="B13" t="s">
        <v>66</v>
      </c>
      <c r="L13" s="22" t="s">
        <v>21</v>
      </c>
      <c r="M13" s="23">
        <f>M12/347</f>
        <v>202.99646131038654</v>
      </c>
      <c r="N13" s="24" t="s">
        <v>123</v>
      </c>
    </row>
    <row r="14" spans="1:19" x14ac:dyDescent="0.25">
      <c r="I14" s="1"/>
      <c r="J14" s="1"/>
    </row>
    <row r="15" spans="1:19" x14ac:dyDescent="0.25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5"/>
      <c r="N15" s="21"/>
      <c r="O15" s="21"/>
    </row>
    <row r="16" spans="1:19" ht="30" x14ac:dyDescent="0.25">
      <c r="A16" s="54" t="s">
        <v>125</v>
      </c>
      <c r="B16" s="16" t="s">
        <v>3</v>
      </c>
      <c r="C16" s="17" t="s">
        <v>4</v>
      </c>
      <c r="D16" s="17" t="s">
        <v>5</v>
      </c>
      <c r="E16" s="17" t="s">
        <v>7</v>
      </c>
      <c r="F16" s="17" t="s">
        <v>8</v>
      </c>
      <c r="G16" s="17" t="s">
        <v>9</v>
      </c>
      <c r="H16" s="17" t="s">
        <v>19</v>
      </c>
      <c r="I16" s="17" t="s">
        <v>10</v>
      </c>
      <c r="J16" s="17" t="s">
        <v>27</v>
      </c>
      <c r="K16" s="17" t="s">
        <v>23</v>
      </c>
      <c r="L16" s="17" t="s">
        <v>22</v>
      </c>
      <c r="M16" s="17" t="s">
        <v>24</v>
      </c>
      <c r="N16" s="7"/>
      <c r="O16" s="7"/>
    </row>
    <row r="17" spans="1:15" x14ac:dyDescent="0.25">
      <c r="A17" s="54" t="s">
        <v>6</v>
      </c>
      <c r="B17" s="54">
        <v>8</v>
      </c>
      <c r="C17" s="54">
        <v>8</v>
      </c>
      <c r="D17" s="54"/>
      <c r="E17" s="54">
        <v>16</v>
      </c>
      <c r="F17" s="54">
        <v>116</v>
      </c>
      <c r="G17" s="10">
        <f>+E17*F17</f>
        <v>1856</v>
      </c>
      <c r="H17" s="11">
        <f t="shared" ref="H17:H23" si="9">+G17/2080</f>
        <v>0.89230769230769236</v>
      </c>
      <c r="I17" s="77">
        <f>'one to one'!$O$3</f>
        <v>13.8</v>
      </c>
      <c r="J17" s="12">
        <v>1.2</v>
      </c>
      <c r="K17" s="13">
        <f t="shared" ref="K17:K23" si="10">G17*I17*J17</f>
        <v>30735.360000000001</v>
      </c>
      <c r="L17" s="14">
        <f>1/3</f>
        <v>0.33333333333333331</v>
      </c>
      <c r="M17" s="15">
        <f t="shared" ref="M17:M27" si="11">L17*K17</f>
        <v>10245.119999999999</v>
      </c>
      <c r="N17" s="7"/>
      <c r="O17" s="7"/>
    </row>
    <row r="18" spans="1:15" x14ac:dyDescent="0.25">
      <c r="A18" s="54" t="s">
        <v>16</v>
      </c>
      <c r="B18" s="54">
        <v>2</v>
      </c>
      <c r="C18" s="54">
        <v>8</v>
      </c>
      <c r="D18" s="54"/>
      <c r="E18" s="54">
        <v>10</v>
      </c>
      <c r="F18" s="54">
        <v>249</v>
      </c>
      <c r="G18" s="10">
        <f>+E18*F18</f>
        <v>2490</v>
      </c>
      <c r="H18" s="11">
        <f t="shared" si="9"/>
        <v>1.1971153846153846</v>
      </c>
      <c r="I18" s="77">
        <f>'one to one'!$O$3</f>
        <v>13.8</v>
      </c>
      <c r="J18" s="12">
        <v>1.2</v>
      </c>
      <c r="K18" s="13">
        <f t="shared" si="10"/>
        <v>41234.400000000001</v>
      </c>
      <c r="L18" s="14">
        <f>1/3</f>
        <v>0.33333333333333331</v>
      </c>
      <c r="M18" s="15">
        <f t="shared" si="11"/>
        <v>13744.8</v>
      </c>
      <c r="N18" s="7"/>
      <c r="O18" s="7"/>
    </row>
    <row r="19" spans="1:15" x14ac:dyDescent="0.25">
      <c r="A19" s="54" t="s">
        <v>126</v>
      </c>
      <c r="B19" s="54"/>
      <c r="C19" s="54"/>
      <c r="D19" s="54">
        <v>8</v>
      </c>
      <c r="E19" s="54">
        <v>8</v>
      </c>
      <c r="F19" s="54">
        <v>365</v>
      </c>
      <c r="G19" s="10">
        <v>2920</v>
      </c>
      <c r="H19" s="11">
        <f t="shared" si="9"/>
        <v>1.4038461538461537</v>
      </c>
      <c r="I19" s="77">
        <v>10.5</v>
      </c>
      <c r="J19" s="12">
        <v>1.2</v>
      </c>
      <c r="K19" s="13">
        <f t="shared" si="10"/>
        <v>36792</v>
      </c>
      <c r="L19" s="14">
        <f>1/3</f>
        <v>0.33333333333333331</v>
      </c>
      <c r="M19" s="15">
        <f t="shared" si="11"/>
        <v>12264</v>
      </c>
      <c r="N19" s="7"/>
      <c r="O19" s="7"/>
    </row>
    <row r="20" spans="1:15" x14ac:dyDescent="0.25">
      <c r="A20" s="54" t="s">
        <v>11</v>
      </c>
      <c r="B20" s="54">
        <v>2</v>
      </c>
      <c r="C20" s="54"/>
      <c r="D20" s="54"/>
      <c r="E20" s="54">
        <v>2</v>
      </c>
      <c r="F20" s="54">
        <v>365</v>
      </c>
      <c r="G20" s="10">
        <f>+E20*F20</f>
        <v>730</v>
      </c>
      <c r="H20" s="11">
        <f t="shared" si="9"/>
        <v>0.35096153846153844</v>
      </c>
      <c r="I20" s="12">
        <v>23.19</v>
      </c>
      <c r="J20" s="12">
        <v>1.2</v>
      </c>
      <c r="K20" s="13">
        <f t="shared" si="10"/>
        <v>20314.439999999999</v>
      </c>
      <c r="L20" s="14">
        <f>1/3</f>
        <v>0.33333333333333331</v>
      </c>
      <c r="M20" s="15">
        <f t="shared" si="11"/>
        <v>6771.48</v>
      </c>
      <c r="N20" s="7"/>
      <c r="O20" s="7"/>
    </row>
    <row r="21" spans="1:15" x14ac:dyDescent="0.25">
      <c r="A21" s="54" t="s">
        <v>12</v>
      </c>
      <c r="B21" s="54">
        <v>8</v>
      </c>
      <c r="C21" s="54"/>
      <c r="D21" s="54"/>
      <c r="E21" s="54"/>
      <c r="F21" s="54"/>
      <c r="G21" s="10">
        <v>2080</v>
      </c>
      <c r="H21" s="11">
        <f t="shared" si="9"/>
        <v>1</v>
      </c>
      <c r="I21" s="12">
        <v>37.15</v>
      </c>
      <c r="J21" s="12">
        <v>1.2</v>
      </c>
      <c r="K21" s="13">
        <f t="shared" si="10"/>
        <v>92726.399999999994</v>
      </c>
      <c r="L21" s="14">
        <f>1/12</f>
        <v>8.3333333333333329E-2</v>
      </c>
      <c r="M21" s="15">
        <f t="shared" si="11"/>
        <v>7727.1999999999989</v>
      </c>
      <c r="N21" s="7"/>
      <c r="O21" s="7"/>
    </row>
    <row r="22" spans="1:15" x14ac:dyDescent="0.25">
      <c r="A22" s="54" t="s">
        <v>13</v>
      </c>
      <c r="B22" s="54">
        <v>8</v>
      </c>
      <c r="C22" s="54"/>
      <c r="D22" s="54"/>
      <c r="E22" s="54"/>
      <c r="F22" s="54"/>
      <c r="G22" s="10">
        <v>2080</v>
      </c>
      <c r="H22" s="11">
        <f t="shared" si="9"/>
        <v>1</v>
      </c>
      <c r="I22" s="77">
        <v>31.84</v>
      </c>
      <c r="J22" s="12">
        <v>1.2</v>
      </c>
      <c r="K22" s="13">
        <f t="shared" si="10"/>
        <v>79472.639999999999</v>
      </c>
      <c r="L22" s="14">
        <f>1/12</f>
        <v>8.3333333333333329E-2</v>
      </c>
      <c r="M22" s="15">
        <f t="shared" si="11"/>
        <v>6622.7199999999993</v>
      </c>
      <c r="N22" s="2"/>
      <c r="O22" s="7"/>
    </row>
    <row r="23" spans="1:15" x14ac:dyDescent="0.25">
      <c r="A23" s="54" t="s">
        <v>14</v>
      </c>
      <c r="B23" s="54">
        <v>8</v>
      </c>
      <c r="C23" s="54"/>
      <c r="D23" s="54"/>
      <c r="E23" s="54"/>
      <c r="F23" s="54"/>
      <c r="G23" s="10">
        <v>2080</v>
      </c>
      <c r="H23" s="11">
        <f t="shared" si="9"/>
        <v>1</v>
      </c>
      <c r="I23" s="77">
        <v>23.88</v>
      </c>
      <c r="J23" s="12">
        <v>1.2</v>
      </c>
      <c r="K23" s="13">
        <f t="shared" si="10"/>
        <v>59604.479999999996</v>
      </c>
      <c r="L23" s="14">
        <f>1/12</f>
        <v>8.3333333333333329E-2</v>
      </c>
      <c r="M23" s="15">
        <f t="shared" si="11"/>
        <v>4967.0399999999991</v>
      </c>
      <c r="N23" s="7"/>
      <c r="O23" s="7"/>
    </row>
    <row r="24" spans="1:15" x14ac:dyDescent="0.25">
      <c r="A24" s="54" t="s">
        <v>28</v>
      </c>
      <c r="B24" s="54">
        <v>124</v>
      </c>
      <c r="C24" s="54"/>
      <c r="D24" s="54"/>
      <c r="E24" s="54"/>
      <c r="F24" s="54">
        <v>124</v>
      </c>
      <c r="G24" s="74">
        <f>H17*F24</f>
        <v>110.64615384615385</v>
      </c>
      <c r="H24" s="12"/>
      <c r="I24" s="77">
        <f>'one to one'!$O$3</f>
        <v>13.8</v>
      </c>
      <c r="J24" s="12">
        <v>1.1200000000000001</v>
      </c>
      <c r="K24" s="13">
        <f>G24*I24*J24*H17</f>
        <v>1525.9772818934916</v>
      </c>
      <c r="L24" s="14">
        <f t="shared" ref="L24:L27" si="12">1/3</f>
        <v>0.33333333333333331</v>
      </c>
      <c r="M24" s="15">
        <f t="shared" si="11"/>
        <v>508.65909396449717</v>
      </c>
      <c r="N24" s="7"/>
      <c r="O24" s="7"/>
    </row>
    <row r="25" spans="1:15" x14ac:dyDescent="0.25">
      <c r="A25" s="54" t="s">
        <v>67</v>
      </c>
      <c r="B25" s="54">
        <v>124</v>
      </c>
      <c r="C25" s="54"/>
      <c r="D25" s="54"/>
      <c r="E25" s="54"/>
      <c r="F25" s="54">
        <f>SUM(B25:D25)</f>
        <v>124</v>
      </c>
      <c r="G25" s="10">
        <f t="shared" ref="G25:G27" si="13">H18*F25</f>
        <v>148.44230769230768</v>
      </c>
      <c r="H25" s="12"/>
      <c r="I25" s="77">
        <f>'one to one'!$O$3</f>
        <v>13.8</v>
      </c>
      <c r="J25" s="12">
        <v>1.1200000000000001</v>
      </c>
      <c r="K25" s="13">
        <f>G25*I25*J25*H18</f>
        <v>2746.5709260355029</v>
      </c>
      <c r="L25" s="14">
        <f t="shared" si="12"/>
        <v>0.33333333333333331</v>
      </c>
      <c r="M25" s="15">
        <f t="shared" si="11"/>
        <v>915.52364201183423</v>
      </c>
      <c r="N25" s="3"/>
      <c r="O25" s="7"/>
    </row>
    <row r="26" spans="1:15" x14ac:dyDescent="0.25">
      <c r="A26" s="54" t="s">
        <v>127</v>
      </c>
      <c r="B26" s="54">
        <v>124</v>
      </c>
      <c r="C26" s="54"/>
      <c r="D26" s="54"/>
      <c r="E26" s="54"/>
      <c r="F26" s="54">
        <v>124</v>
      </c>
      <c r="G26" s="10">
        <f t="shared" si="13"/>
        <v>174.07692307692307</v>
      </c>
      <c r="H26" s="12"/>
      <c r="I26" s="77">
        <v>10.5</v>
      </c>
      <c r="J26" s="12">
        <v>1.1200000000000001</v>
      </c>
      <c r="K26" s="13">
        <f>G26*I26*J26*H19</f>
        <v>2873.876094674556</v>
      </c>
      <c r="L26" s="14">
        <f t="shared" si="12"/>
        <v>0.33333333333333331</v>
      </c>
      <c r="M26" s="15">
        <f t="shared" si="11"/>
        <v>957.95869822485201</v>
      </c>
      <c r="N26" s="3"/>
      <c r="O26" s="7"/>
    </row>
    <row r="27" spans="1:15" x14ac:dyDescent="0.25">
      <c r="A27" s="54" t="s">
        <v>18</v>
      </c>
      <c r="B27" s="54">
        <v>124</v>
      </c>
      <c r="C27" s="54"/>
      <c r="D27" s="54"/>
      <c r="E27" s="54"/>
      <c r="F27" s="54">
        <f>SUM(B27:D27)</f>
        <v>124</v>
      </c>
      <c r="G27" s="10">
        <f t="shared" si="13"/>
        <v>43.519230769230766</v>
      </c>
      <c r="H27" s="12"/>
      <c r="I27" s="12">
        <v>23.19</v>
      </c>
      <c r="J27" s="12">
        <v>1.1200000000000001</v>
      </c>
      <c r="K27" s="13">
        <f>G27*I27*J27*H20</f>
        <v>396.69753949704148</v>
      </c>
      <c r="L27" s="14">
        <f t="shared" si="12"/>
        <v>0.33333333333333331</v>
      </c>
      <c r="M27" s="15">
        <f t="shared" si="11"/>
        <v>132.23251316568047</v>
      </c>
      <c r="N27" s="3"/>
      <c r="O27" s="7"/>
    </row>
    <row r="28" spans="1:15" x14ac:dyDescent="0.25">
      <c r="L28" s="1" t="s">
        <v>20</v>
      </c>
      <c r="M28" s="2">
        <f>SUM(M17:M27)</f>
        <v>64856.733947366854</v>
      </c>
      <c r="N28" s="3"/>
      <c r="O28" s="7"/>
    </row>
    <row r="29" spans="1:15" x14ac:dyDescent="0.25">
      <c r="L29" s="22" t="s">
        <v>21</v>
      </c>
      <c r="M29" s="23">
        <f>M28/347</f>
        <v>186.90701425754136</v>
      </c>
      <c r="N29" s="3" t="s">
        <v>128</v>
      </c>
      <c r="O29" s="7"/>
    </row>
    <row r="30" spans="1:15" x14ac:dyDescent="0.25">
      <c r="A30" s="38"/>
      <c r="B30" s="3"/>
      <c r="C30" s="3"/>
      <c r="D30" s="3"/>
      <c r="E30" s="3"/>
      <c r="F30" s="3"/>
      <c r="G30" s="8"/>
      <c r="H30" s="8"/>
      <c r="I30" s="12"/>
      <c r="J30" s="12"/>
      <c r="K30" s="13"/>
      <c r="L30" s="9"/>
      <c r="M30" s="15"/>
      <c r="N30" s="3"/>
      <c r="O30" s="7"/>
    </row>
    <row r="31" spans="1:15" x14ac:dyDescent="0.25">
      <c r="A31" s="18"/>
      <c r="B31" s="3"/>
      <c r="C31" s="8"/>
      <c r="D31" s="8"/>
      <c r="E31" s="8"/>
      <c r="F31" s="8"/>
      <c r="G31" s="8"/>
      <c r="H31" s="8"/>
      <c r="I31" s="12"/>
      <c r="J31" s="12"/>
      <c r="K31" s="13"/>
      <c r="L31" s="9"/>
      <c r="M31" s="15"/>
      <c r="N31" s="3"/>
      <c r="O31" s="7"/>
    </row>
    <row r="32" spans="1:15" x14ac:dyDescent="0.25">
      <c r="A32" s="18"/>
      <c r="B32" s="3"/>
      <c r="C32" s="8"/>
      <c r="D32" s="8"/>
      <c r="E32" s="8"/>
      <c r="F32" s="8"/>
      <c r="G32" s="8"/>
      <c r="H32" s="8"/>
      <c r="I32" s="12"/>
      <c r="J32" s="12"/>
      <c r="K32" s="13"/>
      <c r="L32" s="9"/>
      <c r="M32" s="15"/>
      <c r="N32" s="3"/>
      <c r="O32" s="7"/>
    </row>
    <row r="33" spans="1:15" ht="15" customHeight="1" x14ac:dyDescent="0.25">
      <c r="A33" s="18"/>
      <c r="B33" s="3"/>
      <c r="C33" s="8"/>
      <c r="D33" s="8"/>
      <c r="E33" s="8"/>
      <c r="F33" s="8"/>
      <c r="G33" s="8"/>
      <c r="H33" s="8"/>
      <c r="I33" s="12"/>
      <c r="J33" s="12"/>
      <c r="K33" s="13"/>
      <c r="L33" s="9"/>
      <c r="M33" s="15"/>
      <c r="N33" s="3"/>
      <c r="O33" s="7"/>
    </row>
    <row r="34" spans="1:15" x14ac:dyDescent="0.25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46"/>
      <c r="O34" s="46"/>
    </row>
    <row r="35" spans="1:15" x14ac:dyDescent="0.2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46"/>
      <c r="O35" s="46"/>
    </row>
    <row r="36" spans="1:15" x14ac:dyDescent="0.2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46"/>
      <c r="O36" s="46"/>
    </row>
    <row r="37" spans="1:15" x14ac:dyDescent="0.2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46"/>
      <c r="O37" s="46"/>
    </row>
    <row r="38" spans="1:15" x14ac:dyDescent="0.2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46"/>
      <c r="O38" s="46"/>
    </row>
    <row r="39" spans="1:15" x14ac:dyDescent="0.2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46"/>
      <c r="O39" s="46"/>
    </row>
    <row r="40" spans="1:15" x14ac:dyDescent="0.2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46"/>
      <c r="O40" s="46"/>
    </row>
    <row r="41" spans="1:15" x14ac:dyDescent="0.2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</row>
    <row r="42" spans="1:15" x14ac:dyDescent="0.2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</row>
    <row r="43" spans="1:15" x14ac:dyDescent="0.2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</row>
    <row r="55" spans="13:13" x14ac:dyDescent="0.25">
      <c r="M55" s="60"/>
    </row>
  </sheetData>
  <mergeCells count="2">
    <mergeCell ref="A15:M15"/>
    <mergeCell ref="A34:M43"/>
  </mergeCells>
  <phoneticPr fontId="7" type="noConversion"/>
  <pageMargins left="0.7" right="0.7" top="0.75" bottom="0.75" header="0.3" footer="0.3"/>
  <pageSetup scale="75" orientation="landscape" r:id="rId1"/>
  <headerFooter>
    <oddHeader>&amp;C&amp;F //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7"/>
  <sheetViews>
    <sheetView topLeftCell="B13" zoomScaleNormal="100" workbookViewId="0">
      <selection activeCell="M33" sqref="M33"/>
    </sheetView>
  </sheetViews>
  <sheetFormatPr defaultColWidth="8.85546875" defaultRowHeight="15" x14ac:dyDescent="0.25"/>
  <cols>
    <col min="1" max="1" width="17.28515625" customWidth="1"/>
    <col min="6" max="6" width="10.85546875" customWidth="1"/>
    <col min="7" max="7" width="9.42578125" bestFit="1" customWidth="1"/>
    <col min="8" max="8" width="9.42578125" customWidth="1"/>
    <col min="11" max="11" width="12.42578125" bestFit="1" customWidth="1"/>
    <col min="12" max="12" width="10.7109375" customWidth="1"/>
    <col min="13" max="13" width="14.7109375" customWidth="1"/>
    <col min="14" max="14" width="12.42578125" bestFit="1" customWidth="1"/>
  </cols>
  <sheetData>
    <row r="2" spans="1:18" ht="30" x14ac:dyDescent="0.25">
      <c r="A2" s="54" t="s">
        <v>145</v>
      </c>
      <c r="B2" s="16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7" t="s">
        <v>19</v>
      </c>
      <c r="I2" s="17" t="s">
        <v>10</v>
      </c>
      <c r="J2" s="17" t="s">
        <v>27</v>
      </c>
      <c r="K2" s="17" t="s">
        <v>23</v>
      </c>
      <c r="L2" s="17" t="s">
        <v>22</v>
      </c>
      <c r="M2" s="17" t="s">
        <v>24</v>
      </c>
      <c r="P2" t="s">
        <v>210</v>
      </c>
      <c r="Q2">
        <v>1.4705882352941178E-2</v>
      </c>
      <c r="R2" t="s">
        <v>211</v>
      </c>
    </row>
    <row r="3" spans="1:18" x14ac:dyDescent="0.25">
      <c r="A3" s="54" t="s">
        <v>6</v>
      </c>
      <c r="B3" s="54">
        <v>8</v>
      </c>
      <c r="C3" s="54">
        <v>8</v>
      </c>
      <c r="D3" s="54">
        <v>8</v>
      </c>
      <c r="E3" s="54">
        <v>24</v>
      </c>
      <c r="F3" s="54">
        <v>116</v>
      </c>
      <c r="G3" s="10">
        <f>+E3*F3</f>
        <v>2784</v>
      </c>
      <c r="H3" s="11">
        <f t="shared" ref="H3:H9" si="0">+G3/2080</f>
        <v>1.3384615384615384</v>
      </c>
      <c r="I3" s="77">
        <f>'one to one'!$O$3</f>
        <v>13.8</v>
      </c>
      <c r="J3" s="12">
        <v>1.2</v>
      </c>
      <c r="K3" s="13">
        <f t="shared" ref="K3:K9" si="1">G3*I3*J3</f>
        <v>46103.040000000001</v>
      </c>
      <c r="L3" s="14">
        <f>1/3</f>
        <v>0.33333333333333331</v>
      </c>
      <c r="M3" s="15">
        <f t="shared" ref="M3:M13" si="2">L3*K3</f>
        <v>15367.68</v>
      </c>
      <c r="O3" t="s">
        <v>11</v>
      </c>
      <c r="P3">
        <v>22.85</v>
      </c>
      <c r="Q3">
        <v>0.33602941176470597</v>
      </c>
      <c r="R3" s="60">
        <v>23.186029411764707</v>
      </c>
    </row>
    <row r="4" spans="1:18" x14ac:dyDescent="0.25">
      <c r="A4" s="54" t="s">
        <v>16</v>
      </c>
      <c r="B4" s="54">
        <v>3</v>
      </c>
      <c r="C4" s="54">
        <v>8</v>
      </c>
      <c r="D4" s="54">
        <v>8</v>
      </c>
      <c r="E4" s="54">
        <v>19</v>
      </c>
      <c r="F4" s="54">
        <v>249</v>
      </c>
      <c r="G4" s="10">
        <f>+E4*F4</f>
        <v>4731</v>
      </c>
      <c r="H4" s="11">
        <f t="shared" si="0"/>
        <v>2.2745192307692306</v>
      </c>
      <c r="I4" s="77">
        <f>'one to one'!$O$3</f>
        <v>13.8</v>
      </c>
      <c r="J4" s="12">
        <v>1.2</v>
      </c>
      <c r="K4" s="13">
        <f t="shared" si="1"/>
        <v>78345.36</v>
      </c>
      <c r="L4" s="14">
        <f>1/3</f>
        <v>0.33333333333333331</v>
      </c>
      <c r="M4" s="15">
        <f t="shared" si="2"/>
        <v>26115.119999999999</v>
      </c>
      <c r="O4" t="s">
        <v>12</v>
      </c>
      <c r="P4">
        <v>36.61</v>
      </c>
      <c r="Q4">
        <v>0.53838235294117653</v>
      </c>
      <c r="R4" s="60">
        <v>37.148382352941177</v>
      </c>
    </row>
    <row r="5" spans="1:18" x14ac:dyDescent="0.25">
      <c r="A5" s="54" t="s">
        <v>25</v>
      </c>
      <c r="B5" s="54"/>
      <c r="C5" s="54">
        <v>8</v>
      </c>
      <c r="D5" s="54"/>
      <c r="E5" s="54">
        <v>8</v>
      </c>
      <c r="F5" s="54">
        <v>365</v>
      </c>
      <c r="G5" s="10">
        <f>+E5*F5</f>
        <v>2920</v>
      </c>
      <c r="H5" s="11">
        <f t="shared" si="0"/>
        <v>1.4038461538461537</v>
      </c>
      <c r="I5" s="77">
        <f>'one to one'!$O$3</f>
        <v>13.8</v>
      </c>
      <c r="J5" s="12">
        <v>1.2</v>
      </c>
      <c r="K5" s="13">
        <f t="shared" si="1"/>
        <v>48355.199999999997</v>
      </c>
      <c r="L5" s="14">
        <v>0.33300000000000002</v>
      </c>
      <c r="M5" s="15">
        <f t="shared" si="2"/>
        <v>16102.2816</v>
      </c>
      <c r="O5" t="s">
        <v>13</v>
      </c>
      <c r="P5">
        <v>31.38</v>
      </c>
      <c r="Q5">
        <v>0.46147058823529413</v>
      </c>
      <c r="R5" s="60">
        <v>31.841470588235293</v>
      </c>
    </row>
    <row r="6" spans="1:18" x14ac:dyDescent="0.25">
      <c r="A6" s="54" t="s">
        <v>11</v>
      </c>
      <c r="B6" s="54">
        <v>4</v>
      </c>
      <c r="C6" s="54"/>
      <c r="D6" s="54"/>
      <c r="E6" s="54">
        <v>4</v>
      </c>
      <c r="F6" s="54">
        <v>365</v>
      </c>
      <c r="G6" s="10">
        <f>+E6*F6</f>
        <v>1460</v>
      </c>
      <c r="H6" s="11">
        <f t="shared" si="0"/>
        <v>0.70192307692307687</v>
      </c>
      <c r="I6" s="12">
        <v>23.19</v>
      </c>
      <c r="J6" s="12">
        <v>1.2</v>
      </c>
      <c r="K6" s="13">
        <f t="shared" si="1"/>
        <v>40628.879999999997</v>
      </c>
      <c r="L6" s="14">
        <f>1/3</f>
        <v>0.33333333333333331</v>
      </c>
      <c r="M6" s="15">
        <f t="shared" si="2"/>
        <v>13542.96</v>
      </c>
      <c r="O6" t="s">
        <v>14</v>
      </c>
      <c r="P6">
        <v>23.53</v>
      </c>
      <c r="Q6">
        <v>0.34602941176470592</v>
      </c>
      <c r="R6" s="60">
        <v>23.876029411764708</v>
      </c>
    </row>
    <row r="7" spans="1:18" x14ac:dyDescent="0.25">
      <c r="A7" s="54" t="s">
        <v>12</v>
      </c>
      <c r="B7" s="54">
        <v>8</v>
      </c>
      <c r="C7" s="54"/>
      <c r="D7" s="54"/>
      <c r="E7" s="54"/>
      <c r="F7" s="54"/>
      <c r="G7" s="10">
        <v>2080</v>
      </c>
      <c r="H7" s="11">
        <f t="shared" si="0"/>
        <v>1</v>
      </c>
      <c r="I7" s="12">
        <v>37.15</v>
      </c>
      <c r="J7" s="12">
        <v>1.2</v>
      </c>
      <c r="K7" s="13">
        <f t="shared" si="1"/>
        <v>92726.399999999994</v>
      </c>
      <c r="L7" s="14">
        <f>1/12</f>
        <v>8.3333333333333329E-2</v>
      </c>
      <c r="M7" s="15">
        <f t="shared" si="2"/>
        <v>7727.1999999999989</v>
      </c>
    </row>
    <row r="8" spans="1:18" x14ac:dyDescent="0.25">
      <c r="A8" s="54" t="s">
        <v>13</v>
      </c>
      <c r="B8" s="54">
        <v>8</v>
      </c>
      <c r="C8" s="54"/>
      <c r="D8" s="54"/>
      <c r="E8" s="54"/>
      <c r="F8" s="54"/>
      <c r="G8" s="10">
        <v>2080</v>
      </c>
      <c r="H8" s="11">
        <f t="shared" si="0"/>
        <v>1</v>
      </c>
      <c r="I8" s="77">
        <v>31.84</v>
      </c>
      <c r="J8" s="12">
        <v>1.2</v>
      </c>
      <c r="K8" s="13">
        <f t="shared" si="1"/>
        <v>79472.639999999999</v>
      </c>
      <c r="L8" s="14">
        <f>1/12</f>
        <v>8.3333333333333329E-2</v>
      </c>
      <c r="M8" s="15">
        <f t="shared" si="2"/>
        <v>6622.7199999999993</v>
      </c>
    </row>
    <row r="9" spans="1:18" x14ac:dyDescent="0.25">
      <c r="A9" s="54" t="s">
        <v>14</v>
      </c>
      <c r="B9" s="54">
        <v>8</v>
      </c>
      <c r="C9" s="54"/>
      <c r="D9" s="54"/>
      <c r="E9" s="54"/>
      <c r="F9" s="54"/>
      <c r="G9" s="10">
        <v>2080</v>
      </c>
      <c r="H9" s="11">
        <f t="shared" si="0"/>
        <v>1</v>
      </c>
      <c r="I9" s="77">
        <v>23.88</v>
      </c>
      <c r="J9" s="12">
        <v>1.2</v>
      </c>
      <c r="K9" s="13">
        <f t="shared" si="1"/>
        <v>59604.479999999996</v>
      </c>
      <c r="L9" s="14">
        <f>1/12</f>
        <v>8.3333333333333329E-2</v>
      </c>
      <c r="M9" s="15">
        <f t="shared" si="2"/>
        <v>4967.0399999999991</v>
      </c>
    </row>
    <row r="10" spans="1:18" x14ac:dyDescent="0.25">
      <c r="A10" s="54" t="s">
        <v>28</v>
      </c>
      <c r="B10" s="54">
        <v>124</v>
      </c>
      <c r="C10" s="54"/>
      <c r="D10" s="54"/>
      <c r="E10" s="54"/>
      <c r="F10" s="54">
        <f>SUM(B10:D10)</f>
        <v>124</v>
      </c>
      <c r="G10" s="74">
        <f>H3*F10</f>
        <v>165.96923076923076</v>
      </c>
      <c r="H10" s="12"/>
      <c r="I10" s="77">
        <f>'one to one'!$O$3</f>
        <v>13.8</v>
      </c>
      <c r="J10" s="12">
        <v>1.1200000000000001</v>
      </c>
      <c r="K10" s="13">
        <f>G10*I10*J10*H3</f>
        <v>3433.448884260355</v>
      </c>
      <c r="L10" s="14">
        <f t="shared" ref="L10:L13" si="3">1/3</f>
        <v>0.33333333333333331</v>
      </c>
      <c r="M10" s="15">
        <f t="shared" si="2"/>
        <v>1144.4829614201183</v>
      </c>
    </row>
    <row r="11" spans="1:18" x14ac:dyDescent="0.25">
      <c r="A11" s="54" t="s">
        <v>67</v>
      </c>
      <c r="B11" s="54">
        <v>124</v>
      </c>
      <c r="C11" s="54"/>
      <c r="D11" s="54"/>
      <c r="E11" s="54"/>
      <c r="F11" s="54">
        <f>SUM(B11:D11)</f>
        <v>124</v>
      </c>
      <c r="G11" s="74">
        <f>H4*F11</f>
        <v>282.0403846153846</v>
      </c>
      <c r="H11" s="12"/>
      <c r="I11" s="77">
        <f>'one to one'!$O$3</f>
        <v>13.8</v>
      </c>
      <c r="J11" s="12">
        <v>1.1200000000000001</v>
      </c>
      <c r="K11" s="13">
        <f>G11*I11*J11*H4</f>
        <v>9915.1210429881648</v>
      </c>
      <c r="L11" s="14">
        <f t="shared" si="3"/>
        <v>0.33333333333333331</v>
      </c>
      <c r="M11" s="15">
        <f t="shared" si="2"/>
        <v>3305.0403476627216</v>
      </c>
    </row>
    <row r="12" spans="1:18" x14ac:dyDescent="0.25">
      <c r="A12" s="54" t="s">
        <v>129</v>
      </c>
      <c r="B12" s="54">
        <v>124</v>
      </c>
      <c r="C12" s="54"/>
      <c r="D12" s="54"/>
      <c r="E12" s="54"/>
      <c r="F12" s="54">
        <v>124</v>
      </c>
      <c r="G12" s="74">
        <f>H5*F12</f>
        <v>174.07692307692307</v>
      </c>
      <c r="H12" s="12"/>
      <c r="I12" s="77">
        <f>'one to one'!$O$3</f>
        <v>13.8</v>
      </c>
      <c r="J12" s="12">
        <v>1.1200000000000001</v>
      </c>
      <c r="K12" s="13">
        <f>G12*I12*J12*H5</f>
        <v>3777.0942958579876</v>
      </c>
      <c r="L12" s="14">
        <f t="shared" si="3"/>
        <v>0.33333333333333331</v>
      </c>
      <c r="M12" s="15">
        <f t="shared" si="2"/>
        <v>1259.0314319526624</v>
      </c>
    </row>
    <row r="13" spans="1:18" x14ac:dyDescent="0.25">
      <c r="A13" s="54" t="s">
        <v>18</v>
      </c>
      <c r="B13" s="54">
        <v>124</v>
      </c>
      <c r="C13" s="54"/>
      <c r="D13" s="54"/>
      <c r="E13" s="54"/>
      <c r="F13" s="54">
        <f>SUM(B13:D13)</f>
        <v>124</v>
      </c>
      <c r="G13" s="74">
        <f t="shared" ref="G13" si="4">H6*F13</f>
        <v>87.038461538461533</v>
      </c>
      <c r="H13" s="12"/>
      <c r="I13" s="12">
        <v>23.19</v>
      </c>
      <c r="J13" s="12">
        <v>1.1200000000000001</v>
      </c>
      <c r="K13" s="13">
        <f>G13*I13*J13*H6</f>
        <v>1586.7901579881659</v>
      </c>
      <c r="L13" s="14">
        <f t="shared" si="3"/>
        <v>0.33333333333333331</v>
      </c>
      <c r="M13" s="15">
        <f t="shared" si="2"/>
        <v>528.93005266272189</v>
      </c>
    </row>
    <row r="14" spans="1:18" x14ac:dyDescent="0.25">
      <c r="L14" s="1" t="s">
        <v>20</v>
      </c>
      <c r="M14" s="2">
        <f>SUM(M3:M13)</f>
        <v>96682.486393698215</v>
      </c>
    </row>
    <row r="15" spans="1:18" x14ac:dyDescent="0.25">
      <c r="B15" t="s">
        <v>66</v>
      </c>
      <c r="L15" s="22" t="s">
        <v>21</v>
      </c>
      <c r="M15" s="23">
        <f>M14/347</f>
        <v>278.62388009711299</v>
      </c>
      <c r="N15" s="24" t="s">
        <v>123</v>
      </c>
    </row>
    <row r="16" spans="1:18" x14ac:dyDescent="0.25">
      <c r="I16" s="1"/>
      <c r="J16" s="1"/>
    </row>
    <row r="17" spans="1:15" x14ac:dyDescent="0.2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5"/>
      <c r="N17" s="21"/>
      <c r="O17" s="21"/>
    </row>
    <row r="18" spans="1:15" ht="30" x14ac:dyDescent="0.25">
      <c r="A18" s="54" t="s">
        <v>146</v>
      </c>
      <c r="B18" s="16" t="s">
        <v>3</v>
      </c>
      <c r="C18" s="17" t="s">
        <v>4</v>
      </c>
      <c r="D18" s="17" t="s">
        <v>5</v>
      </c>
      <c r="E18" s="17" t="s">
        <v>7</v>
      </c>
      <c r="F18" s="17" t="s">
        <v>8</v>
      </c>
      <c r="G18" s="17" t="s">
        <v>9</v>
      </c>
      <c r="H18" s="17" t="s">
        <v>19</v>
      </c>
      <c r="I18" s="17" t="s">
        <v>10</v>
      </c>
      <c r="J18" s="17" t="s">
        <v>27</v>
      </c>
      <c r="K18" s="17" t="s">
        <v>23</v>
      </c>
      <c r="L18" s="17" t="s">
        <v>22</v>
      </c>
      <c r="M18" s="17" t="s">
        <v>24</v>
      </c>
      <c r="N18" s="7"/>
      <c r="O18" s="7"/>
    </row>
    <row r="19" spans="1:15" x14ac:dyDescent="0.25">
      <c r="A19" s="54" t="s">
        <v>6</v>
      </c>
      <c r="B19" s="54">
        <v>8</v>
      </c>
      <c r="C19" s="54">
        <v>8</v>
      </c>
      <c r="D19" s="54"/>
      <c r="E19" s="54">
        <v>16</v>
      </c>
      <c r="F19" s="54">
        <v>116</v>
      </c>
      <c r="G19" s="10">
        <f>+E19*F19</f>
        <v>1856</v>
      </c>
      <c r="H19" s="11">
        <f t="shared" ref="H19:H26" si="5">+G19/2080</f>
        <v>0.89230769230769236</v>
      </c>
      <c r="I19" s="77">
        <f>'one to one'!$O$3</f>
        <v>13.8</v>
      </c>
      <c r="J19" s="12">
        <v>1.2</v>
      </c>
      <c r="K19" s="13">
        <f t="shared" ref="K19:K26" si="6">G19*I19*J19</f>
        <v>30735.360000000001</v>
      </c>
      <c r="L19" s="14">
        <f>1/3</f>
        <v>0.33333333333333331</v>
      </c>
      <c r="M19" s="15">
        <f t="shared" ref="M19:M31" si="7">L19*K19</f>
        <v>10245.119999999999</v>
      </c>
      <c r="N19" s="7"/>
      <c r="O19" s="7"/>
    </row>
    <row r="20" spans="1:15" x14ac:dyDescent="0.25">
      <c r="A20" s="54" t="s">
        <v>16</v>
      </c>
      <c r="B20" s="54">
        <v>2</v>
      </c>
      <c r="C20" s="54">
        <v>8</v>
      </c>
      <c r="D20" s="54"/>
      <c r="E20" s="54">
        <v>10</v>
      </c>
      <c r="F20" s="54">
        <v>249</v>
      </c>
      <c r="G20" s="10">
        <f>+E20*F20</f>
        <v>2490</v>
      </c>
      <c r="H20" s="11">
        <f t="shared" si="5"/>
        <v>1.1971153846153846</v>
      </c>
      <c r="I20" s="77">
        <f>'one to one'!$O$3</f>
        <v>13.8</v>
      </c>
      <c r="J20" s="12">
        <v>1.2</v>
      </c>
      <c r="K20" s="13">
        <f t="shared" si="6"/>
        <v>41234.400000000001</v>
      </c>
      <c r="L20" s="14">
        <f>1/3</f>
        <v>0.33333333333333331</v>
      </c>
      <c r="M20" s="15">
        <f t="shared" si="7"/>
        <v>13744.8</v>
      </c>
      <c r="N20" s="7"/>
      <c r="O20" s="7"/>
    </row>
    <row r="21" spans="1:15" x14ac:dyDescent="0.25">
      <c r="A21" s="54" t="s">
        <v>25</v>
      </c>
      <c r="B21" s="54"/>
      <c r="C21" s="54">
        <v>8</v>
      </c>
      <c r="D21" s="54"/>
      <c r="E21" s="54">
        <v>8</v>
      </c>
      <c r="F21" s="54">
        <v>365</v>
      </c>
      <c r="G21" s="10">
        <f>+E21*F21</f>
        <v>2920</v>
      </c>
      <c r="H21" s="11">
        <f t="shared" si="5"/>
        <v>1.4038461538461537</v>
      </c>
      <c r="I21" s="77">
        <f>'one to one'!$O$3</f>
        <v>13.8</v>
      </c>
      <c r="J21" s="12">
        <v>1.2</v>
      </c>
      <c r="K21" s="13">
        <f t="shared" si="6"/>
        <v>48355.199999999997</v>
      </c>
      <c r="L21" s="14">
        <v>0.33300000000000002</v>
      </c>
      <c r="M21" s="15">
        <f t="shared" si="7"/>
        <v>16102.2816</v>
      </c>
      <c r="N21" s="7"/>
      <c r="O21" s="7"/>
    </row>
    <row r="22" spans="1:15" x14ac:dyDescent="0.25">
      <c r="A22" s="54" t="s">
        <v>126</v>
      </c>
      <c r="B22" s="54"/>
      <c r="C22" s="54"/>
      <c r="D22" s="54">
        <v>8</v>
      </c>
      <c r="E22" s="54">
        <v>8</v>
      </c>
      <c r="F22" s="54">
        <v>365</v>
      </c>
      <c r="G22" s="10">
        <v>2920</v>
      </c>
      <c r="H22" s="11">
        <f t="shared" si="5"/>
        <v>1.4038461538461537</v>
      </c>
      <c r="I22" s="77">
        <v>10.5</v>
      </c>
      <c r="J22" s="12">
        <v>1.2</v>
      </c>
      <c r="K22" s="13">
        <f t="shared" si="6"/>
        <v>36792</v>
      </c>
      <c r="L22" s="14">
        <f>1/3</f>
        <v>0.33333333333333331</v>
      </c>
      <c r="M22" s="15">
        <f t="shared" si="7"/>
        <v>12264</v>
      </c>
      <c r="N22" s="7"/>
      <c r="O22" s="7"/>
    </row>
    <row r="23" spans="1:15" x14ac:dyDescent="0.25">
      <c r="A23" s="54" t="s">
        <v>11</v>
      </c>
      <c r="B23" s="54">
        <v>4</v>
      </c>
      <c r="C23" s="54"/>
      <c r="D23" s="54"/>
      <c r="E23" s="54">
        <v>4</v>
      </c>
      <c r="F23" s="54">
        <v>365</v>
      </c>
      <c r="G23" s="10">
        <f>+E23*F23</f>
        <v>1460</v>
      </c>
      <c r="H23" s="11">
        <f t="shared" si="5"/>
        <v>0.70192307692307687</v>
      </c>
      <c r="I23" s="12">
        <v>23.19</v>
      </c>
      <c r="J23" s="12">
        <v>1.2</v>
      </c>
      <c r="K23" s="13">
        <f t="shared" si="6"/>
        <v>40628.879999999997</v>
      </c>
      <c r="L23" s="14">
        <f>1/3</f>
        <v>0.33333333333333331</v>
      </c>
      <c r="M23" s="15">
        <f t="shared" si="7"/>
        <v>13542.96</v>
      </c>
      <c r="N23" s="7"/>
      <c r="O23" s="7"/>
    </row>
    <row r="24" spans="1:15" x14ac:dyDescent="0.25">
      <c r="A24" s="54" t="s">
        <v>12</v>
      </c>
      <c r="B24" s="54">
        <v>8</v>
      </c>
      <c r="C24" s="54"/>
      <c r="D24" s="54"/>
      <c r="E24" s="54"/>
      <c r="F24" s="54"/>
      <c r="G24" s="10">
        <v>2080</v>
      </c>
      <c r="H24" s="11">
        <f t="shared" si="5"/>
        <v>1</v>
      </c>
      <c r="I24" s="12">
        <v>37.15</v>
      </c>
      <c r="J24" s="12">
        <v>1.2</v>
      </c>
      <c r="K24" s="13">
        <f t="shared" si="6"/>
        <v>92726.399999999994</v>
      </c>
      <c r="L24" s="14">
        <f>1/12</f>
        <v>8.3333333333333329E-2</v>
      </c>
      <c r="M24" s="15">
        <f t="shared" si="7"/>
        <v>7727.1999999999989</v>
      </c>
      <c r="N24" s="7"/>
      <c r="O24" s="7"/>
    </row>
    <row r="25" spans="1:15" x14ac:dyDescent="0.25">
      <c r="A25" s="54" t="s">
        <v>13</v>
      </c>
      <c r="B25" s="54">
        <v>8</v>
      </c>
      <c r="C25" s="54"/>
      <c r="D25" s="54"/>
      <c r="E25" s="54"/>
      <c r="F25" s="54"/>
      <c r="G25" s="10">
        <v>2080</v>
      </c>
      <c r="H25" s="11">
        <f t="shared" si="5"/>
        <v>1</v>
      </c>
      <c r="I25" s="77">
        <v>31.84</v>
      </c>
      <c r="J25" s="12">
        <v>1.2</v>
      </c>
      <c r="K25" s="13">
        <f t="shared" si="6"/>
        <v>79472.639999999999</v>
      </c>
      <c r="L25" s="14">
        <f>1/12</f>
        <v>8.3333333333333329E-2</v>
      </c>
      <c r="M25" s="15">
        <f t="shared" si="7"/>
        <v>6622.7199999999993</v>
      </c>
      <c r="N25" s="2"/>
      <c r="O25" s="7"/>
    </row>
    <row r="26" spans="1:15" x14ac:dyDescent="0.25">
      <c r="A26" s="54" t="s">
        <v>14</v>
      </c>
      <c r="B26" s="54">
        <v>8</v>
      </c>
      <c r="C26" s="54"/>
      <c r="D26" s="54"/>
      <c r="E26" s="54"/>
      <c r="F26" s="54"/>
      <c r="G26" s="10">
        <v>2080</v>
      </c>
      <c r="H26" s="11">
        <f t="shared" si="5"/>
        <v>1</v>
      </c>
      <c r="I26" s="77">
        <v>23.88</v>
      </c>
      <c r="J26" s="12">
        <v>1.2</v>
      </c>
      <c r="K26" s="13">
        <f t="shared" si="6"/>
        <v>59604.479999999996</v>
      </c>
      <c r="L26" s="14">
        <f>1/12</f>
        <v>8.3333333333333329E-2</v>
      </c>
      <c r="M26" s="15">
        <f t="shared" si="7"/>
        <v>4967.0399999999991</v>
      </c>
      <c r="N26" s="7"/>
      <c r="O26" s="7"/>
    </row>
    <row r="27" spans="1:15" x14ac:dyDescent="0.25">
      <c r="A27" s="54" t="s">
        <v>28</v>
      </c>
      <c r="B27" s="54">
        <v>124</v>
      </c>
      <c r="C27" s="54"/>
      <c r="D27" s="54"/>
      <c r="E27" s="54"/>
      <c r="F27" s="54">
        <f>SUM(B27:D27)</f>
        <v>124</v>
      </c>
      <c r="G27" s="10">
        <f t="shared" ref="G27:G31" si="8">H20*F27</f>
        <v>148.44230769230768</v>
      </c>
      <c r="H27" s="12"/>
      <c r="I27" s="77">
        <f>'one to one'!$O$3</f>
        <v>13.8</v>
      </c>
      <c r="J27" s="12">
        <v>1.1200000000000001</v>
      </c>
      <c r="K27" s="13">
        <f>G27*I27*J27*H19</f>
        <v>2047.2432284023669</v>
      </c>
      <c r="L27" s="14">
        <f t="shared" ref="L27:L31" si="9">1/3</f>
        <v>0.33333333333333331</v>
      </c>
      <c r="M27" s="15">
        <f t="shared" si="7"/>
        <v>682.41440946745558</v>
      </c>
      <c r="N27" s="7"/>
      <c r="O27" s="7"/>
    </row>
    <row r="28" spans="1:15" x14ac:dyDescent="0.25">
      <c r="A28" s="54" t="s">
        <v>67</v>
      </c>
      <c r="B28" s="54">
        <v>124</v>
      </c>
      <c r="C28" s="54"/>
      <c r="D28" s="54"/>
      <c r="E28" s="54"/>
      <c r="F28" s="54">
        <f>SUM(B28:D28)</f>
        <v>124</v>
      </c>
      <c r="G28" s="10">
        <f t="shared" si="8"/>
        <v>174.07692307692307</v>
      </c>
      <c r="H28" s="12"/>
      <c r="I28" s="77">
        <f>'one to one'!$O$3</f>
        <v>13.8</v>
      </c>
      <c r="J28" s="12">
        <v>1.1200000000000001</v>
      </c>
      <c r="K28" s="13">
        <f>G28*I28*J28*H20</f>
        <v>3220.8783550295857</v>
      </c>
      <c r="L28" s="14">
        <f t="shared" si="9"/>
        <v>0.33333333333333331</v>
      </c>
      <c r="M28" s="15">
        <f t="shared" si="7"/>
        <v>1073.6261183431952</v>
      </c>
      <c r="N28" s="3"/>
      <c r="O28" s="7"/>
    </row>
    <row r="29" spans="1:15" x14ac:dyDescent="0.25">
      <c r="A29" s="54" t="s">
        <v>130</v>
      </c>
      <c r="B29" s="54">
        <v>124</v>
      </c>
      <c r="C29" s="54"/>
      <c r="D29" s="54"/>
      <c r="E29" s="54"/>
      <c r="F29" s="54">
        <v>124</v>
      </c>
      <c r="G29" s="10">
        <f t="shared" si="8"/>
        <v>174.07692307692307</v>
      </c>
      <c r="H29" s="12"/>
      <c r="I29" s="77">
        <f>'one to one'!$O$3</f>
        <v>13.8</v>
      </c>
      <c r="J29" s="12">
        <v>1.1200000000000001</v>
      </c>
      <c r="K29" s="13">
        <f>G29*I29*J29*H21</f>
        <v>3777.0942958579876</v>
      </c>
      <c r="L29" s="14">
        <v>0.33300000000000002</v>
      </c>
      <c r="M29" s="15">
        <f t="shared" si="7"/>
        <v>1257.7724005207099</v>
      </c>
      <c r="N29" s="3"/>
      <c r="O29" s="7"/>
    </row>
    <row r="30" spans="1:15" x14ac:dyDescent="0.25">
      <c r="A30" s="54" t="s">
        <v>127</v>
      </c>
      <c r="B30" s="54">
        <v>124</v>
      </c>
      <c r="C30" s="54"/>
      <c r="D30" s="54"/>
      <c r="E30" s="54"/>
      <c r="F30" s="54">
        <v>124</v>
      </c>
      <c r="G30" s="10">
        <f t="shared" si="8"/>
        <v>87.038461538461533</v>
      </c>
      <c r="H30" s="12"/>
      <c r="I30" s="77">
        <v>10.5</v>
      </c>
      <c r="J30" s="12">
        <v>1.1200000000000001</v>
      </c>
      <c r="K30" s="13">
        <f>G30*I30*J30*H22</f>
        <v>1436.938047337278</v>
      </c>
      <c r="L30" s="14">
        <f t="shared" si="9"/>
        <v>0.33333333333333331</v>
      </c>
      <c r="M30" s="15">
        <f t="shared" si="7"/>
        <v>478.97934911242601</v>
      </c>
      <c r="N30" s="3"/>
      <c r="O30" s="7"/>
    </row>
    <row r="31" spans="1:15" x14ac:dyDescent="0.25">
      <c r="A31" s="54" t="s">
        <v>18</v>
      </c>
      <c r="B31" s="54">
        <v>124</v>
      </c>
      <c r="C31" s="54"/>
      <c r="D31" s="54"/>
      <c r="E31" s="54"/>
      <c r="F31" s="54">
        <f>SUM(B31:D31)</f>
        <v>124</v>
      </c>
      <c r="G31" s="10">
        <f t="shared" si="8"/>
        <v>124</v>
      </c>
      <c r="H31" s="12"/>
      <c r="I31" s="12">
        <v>23.19</v>
      </c>
      <c r="J31" s="12">
        <v>1.1200000000000001</v>
      </c>
      <c r="K31" s="13">
        <f>G31*I31*J31*H23</f>
        <v>2260.6325538461538</v>
      </c>
      <c r="L31" s="14">
        <f t="shared" si="9"/>
        <v>0.33333333333333331</v>
      </c>
      <c r="M31" s="15">
        <f t="shared" si="7"/>
        <v>753.54418461538455</v>
      </c>
      <c r="N31" s="3"/>
      <c r="O31" s="7"/>
    </row>
    <row r="32" spans="1:15" x14ac:dyDescent="0.25">
      <c r="L32" s="1" t="s">
        <v>20</v>
      </c>
      <c r="M32" s="2">
        <f>SUM(M19:M31)</f>
        <v>89462.458062059159</v>
      </c>
      <c r="N32" s="3"/>
      <c r="O32" s="7"/>
    </row>
    <row r="33" spans="1:15" x14ac:dyDescent="0.25">
      <c r="L33" s="22" t="s">
        <v>21</v>
      </c>
      <c r="M33" s="23">
        <f>M32/347</f>
        <v>257.81688202322522</v>
      </c>
      <c r="N33" s="3" t="s">
        <v>128</v>
      </c>
      <c r="O33" s="7"/>
    </row>
    <row r="34" spans="1:15" x14ac:dyDescent="0.25">
      <c r="A34" s="38"/>
      <c r="B34" s="3"/>
      <c r="C34" s="3"/>
      <c r="D34" s="3"/>
      <c r="E34" s="3"/>
      <c r="F34" s="3"/>
      <c r="G34" s="8"/>
      <c r="H34" s="8"/>
      <c r="I34" s="12"/>
      <c r="J34" s="12"/>
      <c r="K34" s="13"/>
      <c r="L34" s="54"/>
      <c r="M34" s="15"/>
      <c r="N34" s="3"/>
      <c r="O34" s="7"/>
    </row>
    <row r="35" spans="1:15" x14ac:dyDescent="0.25">
      <c r="A35" s="18"/>
      <c r="B35" s="3"/>
      <c r="C35" s="8"/>
      <c r="D35" s="8"/>
      <c r="E35" s="8"/>
      <c r="F35" s="8"/>
      <c r="G35" s="8"/>
      <c r="H35" s="8"/>
      <c r="I35" s="12"/>
      <c r="J35" s="12"/>
      <c r="K35" s="13"/>
      <c r="L35" s="54"/>
      <c r="M35" s="15"/>
      <c r="N35" s="3"/>
      <c r="O35" s="7"/>
    </row>
    <row r="36" spans="1:15" x14ac:dyDescent="0.25">
      <c r="A36" s="18"/>
      <c r="B36" s="3"/>
      <c r="C36" s="8"/>
      <c r="D36" s="8"/>
      <c r="E36" s="8"/>
      <c r="F36" s="8"/>
      <c r="G36" s="8"/>
      <c r="H36" s="8"/>
      <c r="I36" s="12"/>
      <c r="J36" s="12"/>
      <c r="K36" s="13"/>
      <c r="L36" s="54"/>
      <c r="M36" s="15"/>
      <c r="N36" s="3"/>
      <c r="O36" s="7"/>
    </row>
    <row r="37" spans="1:15" ht="15" customHeight="1" x14ac:dyDescent="0.25">
      <c r="A37" s="18"/>
      <c r="B37" s="3"/>
      <c r="C37" s="8"/>
      <c r="D37" s="8"/>
      <c r="E37" s="8"/>
      <c r="F37" s="8"/>
      <c r="G37" s="8"/>
      <c r="H37" s="8"/>
      <c r="I37" s="12"/>
      <c r="J37" s="12"/>
      <c r="K37" s="13"/>
      <c r="L37" s="54"/>
      <c r="M37" s="15"/>
      <c r="N37" s="3"/>
      <c r="O37" s="7"/>
    </row>
    <row r="38" spans="1:15" x14ac:dyDescent="0.25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46"/>
      <c r="O38" s="46"/>
    </row>
    <row r="39" spans="1:15" x14ac:dyDescent="0.2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46"/>
      <c r="O39" s="46"/>
    </row>
    <row r="40" spans="1:15" x14ac:dyDescent="0.2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46"/>
      <c r="O40" s="46"/>
    </row>
    <row r="41" spans="1:15" x14ac:dyDescent="0.2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46"/>
      <c r="O41" s="46"/>
    </row>
    <row r="42" spans="1:15" x14ac:dyDescent="0.2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46"/>
      <c r="O42" s="46"/>
    </row>
    <row r="43" spans="1:15" x14ac:dyDescent="0.2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46"/>
      <c r="O43" s="46"/>
    </row>
    <row r="44" spans="1:15" x14ac:dyDescent="0.2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46"/>
      <c r="O44" s="46"/>
    </row>
    <row r="45" spans="1:15" x14ac:dyDescent="0.2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</row>
    <row r="46" spans="1:15" x14ac:dyDescent="0.2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</row>
    <row r="47" spans="1:15" x14ac:dyDescent="0.2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</row>
  </sheetData>
  <mergeCells count="2">
    <mergeCell ref="A17:M17"/>
    <mergeCell ref="A38:M47"/>
  </mergeCells>
  <pageMargins left="0.7" right="0.7" top="0.75" bottom="0.75" header="0.3" footer="0.3"/>
  <pageSetup scale="75" orientation="landscape" r:id="rId1"/>
  <headerFooter>
    <oddHeader>&amp;C&amp;F // 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9"/>
  <sheetViews>
    <sheetView zoomScaleNormal="100" workbookViewId="0">
      <pane xSplit="4" topLeftCell="E1" activePane="topRight" state="frozen"/>
      <selection pane="topRight" sqref="A1:N57"/>
    </sheetView>
  </sheetViews>
  <sheetFormatPr defaultColWidth="8.85546875" defaultRowHeight="15" x14ac:dyDescent="0.25"/>
  <cols>
    <col min="1" max="1" width="12.140625" customWidth="1"/>
    <col min="4" max="4" width="10.28515625" customWidth="1"/>
    <col min="11" max="11" width="13.140625" customWidth="1"/>
    <col min="12" max="12" width="9.140625" customWidth="1"/>
    <col min="13" max="13" width="15.140625" customWidth="1"/>
    <col min="14" max="14" width="12.140625" customWidth="1"/>
    <col min="15" max="15" width="8.42578125" customWidth="1"/>
    <col min="18" max="18" width="12.140625" customWidth="1"/>
    <col min="22" max="22" width="11.28515625" customWidth="1"/>
    <col min="24" max="24" width="16.140625" customWidth="1"/>
  </cols>
  <sheetData>
    <row r="1" spans="1:15" ht="15.75" thickBot="1" x14ac:dyDescent="0.3">
      <c r="A1" s="73" t="s">
        <v>158</v>
      </c>
      <c r="E1" s="25"/>
      <c r="F1" s="25"/>
      <c r="G1" s="25"/>
      <c r="H1" s="25"/>
      <c r="I1" s="25"/>
      <c r="J1" s="25"/>
      <c r="K1" t="s">
        <v>194</v>
      </c>
    </row>
    <row r="2" spans="1:15" ht="15" customHeight="1" x14ac:dyDescent="0.25">
      <c r="A2" s="193"/>
      <c r="B2" s="196" t="s">
        <v>32</v>
      </c>
      <c r="C2" s="196" t="s">
        <v>1</v>
      </c>
      <c r="D2" s="175" t="s">
        <v>33</v>
      </c>
      <c r="E2" s="181" t="s">
        <v>34</v>
      </c>
      <c r="F2" s="181" t="s">
        <v>35</v>
      </c>
      <c r="G2" s="181" t="s">
        <v>36</v>
      </c>
      <c r="H2" s="181" t="s">
        <v>37</v>
      </c>
      <c r="I2" s="181" t="s">
        <v>38</v>
      </c>
      <c r="J2" s="182" t="s">
        <v>39</v>
      </c>
      <c r="K2" s="183" t="s">
        <v>195</v>
      </c>
      <c r="L2" s="190" t="s">
        <v>196</v>
      </c>
      <c r="M2" s="186" t="s">
        <v>193</v>
      </c>
      <c r="N2" s="175"/>
      <c r="O2" s="178"/>
    </row>
    <row r="3" spans="1:15" x14ac:dyDescent="0.25">
      <c r="A3" s="194"/>
      <c r="B3" s="197"/>
      <c r="C3" s="197"/>
      <c r="D3" s="176"/>
      <c r="E3" s="181"/>
      <c r="F3" s="181"/>
      <c r="G3" s="181"/>
      <c r="H3" s="181"/>
      <c r="I3" s="181"/>
      <c r="J3" s="182"/>
      <c r="K3" s="184"/>
      <c r="L3" s="191"/>
      <c r="M3" s="187"/>
      <c r="N3" s="176"/>
      <c r="O3" s="179"/>
    </row>
    <row r="4" spans="1:15" x14ac:dyDescent="0.25">
      <c r="A4" s="195"/>
      <c r="B4" s="198"/>
      <c r="C4" s="198"/>
      <c r="D4" s="177"/>
      <c r="E4" s="181"/>
      <c r="F4" s="181"/>
      <c r="G4" s="181"/>
      <c r="H4" s="181"/>
      <c r="I4" s="181"/>
      <c r="J4" s="182"/>
      <c r="K4" s="185"/>
      <c r="L4" s="192"/>
      <c r="M4" s="188"/>
      <c r="N4" s="177"/>
      <c r="O4" s="180"/>
    </row>
    <row r="5" spans="1:15" x14ac:dyDescent="0.25">
      <c r="A5" s="199" t="s">
        <v>62</v>
      </c>
      <c r="B5" s="171" t="s">
        <v>49</v>
      </c>
      <c r="C5" s="67" t="s">
        <v>0</v>
      </c>
      <c r="D5" s="82">
        <f>'4 bed base '!M14</f>
        <v>176.17744840661396</v>
      </c>
      <c r="E5" s="69">
        <f>0.08*D5</f>
        <v>14.094195872529117</v>
      </c>
      <c r="F5" s="69">
        <v>0</v>
      </c>
      <c r="G5" s="69">
        <v>42.39</v>
      </c>
      <c r="H5" s="69">
        <v>0</v>
      </c>
      <c r="I5" s="69">
        <f>(SUM(D5:H5)*0.13)</f>
        <v>30.246013756288605</v>
      </c>
      <c r="J5" s="70"/>
      <c r="K5" s="71">
        <f>SUM(D5,E5,F5,G5,H5,I5,J5)</f>
        <v>262.90765803543172</v>
      </c>
      <c r="L5" s="95">
        <v>244.41</v>
      </c>
      <c r="M5" s="6">
        <f>K5-L5</f>
        <v>18.497658035431726</v>
      </c>
      <c r="N5" s="6"/>
      <c r="O5" s="107"/>
    </row>
    <row r="6" spans="1:15" x14ac:dyDescent="0.25">
      <c r="A6" s="199"/>
      <c r="B6" s="172"/>
      <c r="C6" s="72"/>
      <c r="D6" s="68"/>
      <c r="E6" s="69"/>
      <c r="F6" s="69"/>
      <c r="G6" s="69"/>
      <c r="H6" s="69"/>
      <c r="I6" s="69"/>
      <c r="J6" s="70"/>
      <c r="K6" s="71"/>
      <c r="L6" s="95"/>
      <c r="M6" s="6"/>
      <c r="N6" s="6"/>
      <c r="O6" s="107"/>
    </row>
    <row r="7" spans="1:15" x14ac:dyDescent="0.25">
      <c r="A7" s="199"/>
      <c r="B7" s="173" t="s">
        <v>50</v>
      </c>
      <c r="C7" s="67" t="s">
        <v>0</v>
      </c>
      <c r="D7" s="82">
        <f>'6 bed base'!M18</f>
        <v>203.38208037566287</v>
      </c>
      <c r="E7" s="69">
        <f>0.08*D7</f>
        <v>16.27056643005303</v>
      </c>
      <c r="F7" s="69">
        <v>0</v>
      </c>
      <c r="G7" s="69">
        <v>34.29</v>
      </c>
      <c r="H7" s="69">
        <v>0</v>
      </c>
      <c r="I7" s="69">
        <f t="shared" ref="I7:I52" si="0">(SUM(D7:H7)*0.13)</f>
        <v>33.01254408474307</v>
      </c>
      <c r="J7" s="70">
        <v>0</v>
      </c>
      <c r="K7" s="71">
        <f t="shared" ref="K7:K52" si="1">SUM(D7,E7,F7,G7,H7,I7,J7)</f>
        <v>286.95519089045899</v>
      </c>
      <c r="L7" s="105">
        <v>301.95</v>
      </c>
      <c r="M7" s="106">
        <f t="shared" ref="M7:M54" si="2">K7-L7</f>
        <v>-14.994809109540995</v>
      </c>
      <c r="N7" s="105"/>
      <c r="O7" s="107"/>
    </row>
    <row r="8" spans="1:15" x14ac:dyDescent="0.25">
      <c r="A8" s="199"/>
      <c r="B8" s="174"/>
      <c r="C8" s="72"/>
      <c r="D8" s="68"/>
      <c r="E8" s="69"/>
      <c r="F8" s="69"/>
      <c r="G8" s="69"/>
      <c r="H8" s="69"/>
      <c r="I8" s="69"/>
      <c r="J8" s="70"/>
      <c r="K8" s="71"/>
      <c r="L8" s="108"/>
      <c r="M8" s="105">
        <f t="shared" si="2"/>
        <v>0</v>
      </c>
      <c r="N8" s="105"/>
      <c r="O8" s="107"/>
    </row>
    <row r="9" spans="1:15" x14ac:dyDescent="0.25">
      <c r="A9" s="199" t="s">
        <v>63</v>
      </c>
      <c r="B9" s="171" t="s">
        <v>49</v>
      </c>
      <c r="C9" s="67" t="s">
        <v>0</v>
      </c>
      <c r="D9" s="82">
        <v>277.13</v>
      </c>
      <c r="E9" s="69">
        <f>0.08*D9</f>
        <v>22.170400000000001</v>
      </c>
      <c r="F9" s="69">
        <v>0</v>
      </c>
      <c r="G9" s="69">
        <v>42.39</v>
      </c>
      <c r="H9" s="69">
        <v>0</v>
      </c>
      <c r="I9" s="69">
        <f t="shared" si="0"/>
        <v>44.419751999999995</v>
      </c>
      <c r="J9" s="70">
        <v>0</v>
      </c>
      <c r="K9" s="71">
        <f t="shared" si="1"/>
        <v>386.11015199999997</v>
      </c>
      <c r="L9" s="105">
        <v>390.23</v>
      </c>
      <c r="M9" s="106">
        <f t="shared" si="2"/>
        <v>-4.1198480000000473</v>
      </c>
      <c r="N9" s="105"/>
      <c r="O9" s="107"/>
    </row>
    <row r="10" spans="1:15" x14ac:dyDescent="0.25">
      <c r="A10" s="199"/>
      <c r="B10" s="172"/>
      <c r="C10" s="72"/>
      <c r="D10" s="68"/>
      <c r="E10" s="69"/>
      <c r="F10" s="69"/>
      <c r="G10" s="69"/>
      <c r="H10" s="69"/>
      <c r="I10" s="69"/>
      <c r="J10" s="70"/>
      <c r="K10" s="71"/>
      <c r="L10" s="105"/>
      <c r="M10" s="105">
        <f t="shared" si="2"/>
        <v>0</v>
      </c>
      <c r="N10" s="105"/>
      <c r="O10" s="107"/>
    </row>
    <row r="11" spans="1:15" x14ac:dyDescent="0.25">
      <c r="A11" s="199"/>
      <c r="B11" s="173" t="s">
        <v>50</v>
      </c>
      <c r="C11" s="67" t="s">
        <v>0</v>
      </c>
      <c r="D11" s="82">
        <f>'6 bed moderate'!M18</f>
        <v>260.11903166209095</v>
      </c>
      <c r="E11" s="69">
        <f>0.13*D11</f>
        <v>33.815474116071826</v>
      </c>
      <c r="F11" s="69">
        <v>0</v>
      </c>
      <c r="G11" s="69">
        <v>34.29</v>
      </c>
      <c r="H11" s="69">
        <v>0</v>
      </c>
      <c r="I11" s="69">
        <f>(SUM(D11:H11)*0.13)</f>
        <v>42.669185751161166</v>
      </c>
      <c r="J11" s="70">
        <v>0</v>
      </c>
      <c r="K11" s="71">
        <f t="shared" si="1"/>
        <v>370.89369152932397</v>
      </c>
      <c r="L11" s="105">
        <v>348.78</v>
      </c>
      <c r="M11" s="105">
        <f t="shared" si="2"/>
        <v>22.113691529324001</v>
      </c>
      <c r="N11" s="105"/>
      <c r="O11" s="107"/>
    </row>
    <row r="12" spans="1:15" x14ac:dyDescent="0.25">
      <c r="A12" s="199"/>
      <c r="B12" s="174"/>
      <c r="C12" s="72"/>
      <c r="D12" s="68"/>
      <c r="E12" s="69"/>
      <c r="F12" s="69"/>
      <c r="G12" s="69"/>
      <c r="H12" s="69"/>
      <c r="I12" s="69"/>
      <c r="J12" s="70"/>
      <c r="K12" s="71"/>
      <c r="L12" s="105"/>
      <c r="M12" s="105">
        <f t="shared" si="2"/>
        <v>0</v>
      </c>
      <c r="N12" s="105"/>
      <c r="O12" s="107"/>
    </row>
    <row r="13" spans="1:15" x14ac:dyDescent="0.25">
      <c r="A13" s="162" t="s">
        <v>64</v>
      </c>
      <c r="B13" s="171" t="s">
        <v>49</v>
      </c>
      <c r="C13" s="67" t="s">
        <v>0</v>
      </c>
      <c r="D13" s="82">
        <f>'4 bed enhanced mod'!M18</f>
        <v>326.14173328922465</v>
      </c>
      <c r="E13" s="69">
        <f>0.08*D13</f>
        <v>26.091338663137972</v>
      </c>
      <c r="F13" s="69">
        <v>0</v>
      </c>
      <c r="G13" s="69">
        <v>42.39</v>
      </c>
      <c r="H13" s="69">
        <v>0</v>
      </c>
      <c r="I13" s="69">
        <f>(SUM(D13:H13)*0.13)</f>
        <v>51.300999353807136</v>
      </c>
      <c r="J13" s="70">
        <v>0</v>
      </c>
      <c r="K13" s="71">
        <f t="shared" si="1"/>
        <v>445.92407130616971</v>
      </c>
      <c r="L13" s="105">
        <v>435.37</v>
      </c>
      <c r="M13" s="106">
        <f t="shared" si="2"/>
        <v>10.554071306169703</v>
      </c>
      <c r="N13" s="105"/>
      <c r="O13" s="107"/>
    </row>
    <row r="14" spans="1:15" ht="15" customHeight="1" x14ac:dyDescent="0.25">
      <c r="A14" s="162"/>
      <c r="B14" s="172"/>
      <c r="C14" s="72"/>
      <c r="D14" s="68"/>
      <c r="E14" s="69"/>
      <c r="F14" s="69"/>
      <c r="G14" s="69"/>
      <c r="H14" s="69"/>
      <c r="I14" s="69"/>
      <c r="J14" s="70"/>
      <c r="K14" s="71"/>
      <c r="L14" s="108"/>
      <c r="M14" s="105">
        <f t="shared" si="2"/>
        <v>0</v>
      </c>
      <c r="N14" s="105"/>
      <c r="O14" s="107"/>
    </row>
    <row r="15" spans="1:15" x14ac:dyDescent="0.25">
      <c r="A15" s="162"/>
      <c r="B15" s="173" t="s">
        <v>50</v>
      </c>
      <c r="C15" s="67" t="s">
        <v>0</v>
      </c>
      <c r="D15" s="82">
        <f>'6 bed enhanced mod'!M22</f>
        <v>286.65352074528931</v>
      </c>
      <c r="E15" s="69">
        <f>0.13*D15</f>
        <v>37.264957696887613</v>
      </c>
      <c r="F15" s="69">
        <v>0</v>
      </c>
      <c r="G15" s="69">
        <v>34.29</v>
      </c>
      <c r="H15" s="69">
        <v>0</v>
      </c>
      <c r="I15" s="69">
        <f t="shared" si="0"/>
        <v>46.567102197483003</v>
      </c>
      <c r="J15" s="70">
        <v>0</v>
      </c>
      <c r="K15" s="71">
        <f t="shared" si="1"/>
        <v>404.77558063965995</v>
      </c>
      <c r="L15" s="105">
        <v>411.76</v>
      </c>
      <c r="M15" s="106">
        <f t="shared" si="2"/>
        <v>-6.9844193603400413</v>
      </c>
      <c r="N15" s="105"/>
      <c r="O15" s="107"/>
    </row>
    <row r="16" spans="1:15" x14ac:dyDescent="0.25">
      <c r="A16" s="162"/>
      <c r="B16" s="174"/>
      <c r="C16" s="72"/>
      <c r="D16" s="68"/>
      <c r="E16" s="69"/>
      <c r="F16" s="69"/>
      <c r="G16" s="69"/>
      <c r="H16" s="69"/>
      <c r="I16" s="69"/>
      <c r="J16" s="70"/>
      <c r="K16" s="71"/>
      <c r="L16" s="108"/>
      <c r="M16" s="106">
        <f t="shared" si="2"/>
        <v>0</v>
      </c>
      <c r="N16" s="105"/>
      <c r="O16" s="107"/>
    </row>
    <row r="17" spans="1:15" x14ac:dyDescent="0.25">
      <c r="A17" s="162" t="s">
        <v>65</v>
      </c>
      <c r="B17" s="171" t="s">
        <v>49</v>
      </c>
      <c r="C17" s="67" t="s">
        <v>0</v>
      </c>
      <c r="D17" s="82">
        <f>'4 bed intensive'!M23</f>
        <v>375.04769050560174</v>
      </c>
      <c r="E17" s="69">
        <f>0.08*D17</f>
        <v>30.003815240448141</v>
      </c>
      <c r="F17" s="69">
        <v>0</v>
      </c>
      <c r="G17" s="69">
        <v>42.39</v>
      </c>
      <c r="H17" s="69">
        <v>0</v>
      </c>
      <c r="I17" s="69">
        <f t="shared" si="0"/>
        <v>58.167395746986486</v>
      </c>
      <c r="J17" s="70">
        <v>0</v>
      </c>
      <c r="K17" s="71">
        <f t="shared" si="1"/>
        <v>505.60890149303634</v>
      </c>
      <c r="L17" s="105">
        <v>563.57000000000005</v>
      </c>
      <c r="M17" s="106">
        <f t="shared" si="2"/>
        <v>-57.961098506963708</v>
      </c>
      <c r="N17" s="105"/>
      <c r="O17" s="107"/>
    </row>
    <row r="18" spans="1:15" ht="15" customHeight="1" x14ac:dyDescent="0.25">
      <c r="A18" s="162"/>
      <c r="B18" s="172"/>
      <c r="C18" s="72"/>
      <c r="D18" s="68"/>
      <c r="E18" s="69"/>
      <c r="F18" s="69"/>
      <c r="G18" s="69"/>
      <c r="H18" s="69"/>
      <c r="I18" s="69"/>
      <c r="J18" s="70"/>
      <c r="K18" s="71"/>
      <c r="L18" s="108"/>
      <c r="M18" s="105">
        <f t="shared" si="2"/>
        <v>0</v>
      </c>
      <c r="N18" s="105"/>
      <c r="O18" s="107"/>
    </row>
    <row r="19" spans="1:15" x14ac:dyDescent="0.25">
      <c r="A19" s="162"/>
      <c r="B19" s="173" t="s">
        <v>50</v>
      </c>
      <c r="C19" s="67" t="s">
        <v>0</v>
      </c>
      <c r="D19" s="82">
        <f>'6 bed intensive'!M26</f>
        <v>378.30335451277824</v>
      </c>
      <c r="E19" s="69">
        <f>0.13*D19</f>
        <v>49.17943608666117</v>
      </c>
      <c r="F19" s="69">
        <v>0</v>
      </c>
      <c r="G19" s="69">
        <v>34.29</v>
      </c>
      <c r="H19" s="69">
        <v>0</v>
      </c>
      <c r="I19" s="69">
        <f t="shared" si="0"/>
        <v>60.030462777927127</v>
      </c>
      <c r="J19" s="70">
        <v>0</v>
      </c>
      <c r="K19" s="71">
        <f t="shared" si="1"/>
        <v>521.80325337736656</v>
      </c>
      <c r="L19" s="105">
        <v>521.21</v>
      </c>
      <c r="M19" s="106">
        <f t="shared" si="2"/>
        <v>0.59325337736652273</v>
      </c>
      <c r="N19" s="105"/>
      <c r="O19" s="107"/>
    </row>
    <row r="20" spans="1:15" x14ac:dyDescent="0.25">
      <c r="A20" s="162"/>
      <c r="B20" s="174"/>
      <c r="C20" s="72"/>
      <c r="D20" s="68"/>
      <c r="E20" s="69"/>
      <c r="F20" s="69"/>
      <c r="G20" s="69"/>
      <c r="H20" s="69"/>
      <c r="I20" s="69"/>
      <c r="J20" s="70"/>
      <c r="K20" s="71"/>
      <c r="L20" s="108"/>
      <c r="M20" s="106">
        <f t="shared" si="2"/>
        <v>0</v>
      </c>
      <c r="N20" s="105"/>
      <c r="O20" s="107"/>
    </row>
    <row r="21" spans="1:15" x14ac:dyDescent="0.25">
      <c r="A21" s="162" t="s">
        <v>121</v>
      </c>
      <c r="B21" s="163" t="s">
        <v>122</v>
      </c>
      <c r="C21" s="112" t="s">
        <v>0</v>
      </c>
      <c r="D21" s="82">
        <f>'RH intensive 24 LPN'!M20</f>
        <v>442.15975422326625</v>
      </c>
      <c r="E21" s="107">
        <f>0.08*D21</f>
        <v>35.3727803378613</v>
      </c>
      <c r="F21" s="107"/>
      <c r="G21" s="107">
        <v>42.39</v>
      </c>
      <c r="H21" s="107"/>
      <c r="I21" s="107">
        <f>(SUM(D21:H21)*0.13)</f>
        <v>67.589929492946581</v>
      </c>
      <c r="J21" s="113"/>
      <c r="K21" s="114">
        <f t="shared" ref="K21" si="3">SUM(D21,E21,F21,G21,H21,I21,J21)</f>
        <v>587.51246405407414</v>
      </c>
      <c r="L21" s="105">
        <v>617.76</v>
      </c>
      <c r="M21" s="106">
        <f t="shared" si="2"/>
        <v>-30.247535945925847</v>
      </c>
      <c r="N21" s="105"/>
      <c r="O21" s="107"/>
    </row>
    <row r="22" spans="1:15" x14ac:dyDescent="0.25">
      <c r="A22" s="162"/>
      <c r="B22" s="164"/>
      <c r="C22" s="115"/>
      <c r="D22" s="105"/>
      <c r="E22" s="107"/>
      <c r="F22" s="107"/>
      <c r="G22" s="107"/>
      <c r="H22" s="107"/>
      <c r="I22" s="107"/>
      <c r="J22" s="113"/>
      <c r="K22" s="114"/>
      <c r="L22" s="105"/>
      <c r="M22" s="106">
        <f t="shared" si="2"/>
        <v>0</v>
      </c>
      <c r="N22" s="105"/>
      <c r="O22" s="107"/>
    </row>
    <row r="23" spans="1:15" x14ac:dyDescent="0.25">
      <c r="A23" s="162"/>
      <c r="B23" s="165" t="s">
        <v>50</v>
      </c>
      <c r="C23" s="112" t="s">
        <v>0</v>
      </c>
      <c r="D23" s="82">
        <f>'RH intensive 24 LPN'!M45</f>
        <v>381.69924876275775</v>
      </c>
      <c r="E23" s="107">
        <f>0.13*D23</f>
        <v>49.620902339158512</v>
      </c>
      <c r="F23" s="107"/>
      <c r="G23" s="107">
        <v>34.29</v>
      </c>
      <c r="H23" s="107"/>
      <c r="I23" s="107">
        <f t="shared" ref="I23" si="4">(SUM(D23:H23)*0.13)</f>
        <v>60.529319643249124</v>
      </c>
      <c r="J23" s="113"/>
      <c r="K23" s="114">
        <f t="shared" ref="K23" si="5">SUM(D23,E23,F23,G23,H23,I23,J23)</f>
        <v>526.13947074516545</v>
      </c>
      <c r="L23" s="105">
        <v>575.98</v>
      </c>
      <c r="M23" s="106">
        <f t="shared" si="2"/>
        <v>-49.840529254834564</v>
      </c>
      <c r="N23" s="105"/>
      <c r="O23" s="107"/>
    </row>
    <row r="24" spans="1:15" x14ac:dyDescent="0.25">
      <c r="A24" s="162"/>
      <c r="B24" s="166"/>
      <c r="C24" s="115"/>
      <c r="D24" s="100"/>
      <c r="E24" s="107"/>
      <c r="F24" s="107"/>
      <c r="G24" s="107"/>
      <c r="H24" s="107"/>
      <c r="I24" s="107"/>
      <c r="J24" s="113"/>
      <c r="K24" s="114"/>
      <c r="L24" s="105"/>
      <c r="M24" s="106">
        <f t="shared" si="2"/>
        <v>0</v>
      </c>
      <c r="N24" s="105"/>
      <c r="O24" s="107"/>
    </row>
    <row r="25" spans="1:15" x14ac:dyDescent="0.25">
      <c r="A25" s="162" t="s">
        <v>132</v>
      </c>
      <c r="B25" s="167" t="s">
        <v>123</v>
      </c>
      <c r="C25" s="67" t="s">
        <v>70</v>
      </c>
      <c r="D25" s="82">
        <f>'SL Basic 3'!M13</f>
        <v>202.99646131038654</v>
      </c>
      <c r="E25" s="69">
        <f t="shared" ref="E25:E32" si="6">0.08*D25</f>
        <v>16.239716904830924</v>
      </c>
      <c r="F25" s="69"/>
      <c r="G25" s="69">
        <v>0</v>
      </c>
      <c r="H25" s="69"/>
      <c r="I25" s="69">
        <f t="shared" si="0"/>
        <v>28.500703167978269</v>
      </c>
      <c r="J25" s="70"/>
      <c r="K25" s="71">
        <f t="shared" si="1"/>
        <v>247.73688138319571</v>
      </c>
      <c r="L25" s="105">
        <v>274.18</v>
      </c>
      <c r="M25" s="106">
        <f t="shared" si="2"/>
        <v>-26.443118616804298</v>
      </c>
      <c r="N25" s="105"/>
      <c r="O25" s="107"/>
    </row>
    <row r="26" spans="1:15" x14ac:dyDescent="0.25">
      <c r="A26" s="162"/>
      <c r="B26" s="168"/>
      <c r="C26" s="72" t="s">
        <v>69</v>
      </c>
      <c r="D26" s="82">
        <f>'SL Basic 3'!M13</f>
        <v>202.99646131038654</v>
      </c>
      <c r="E26" s="69">
        <f t="shared" si="6"/>
        <v>16.239716904830924</v>
      </c>
      <c r="F26" s="69"/>
      <c r="G26" s="69">
        <v>50.52</v>
      </c>
      <c r="H26" s="69"/>
      <c r="I26" s="69">
        <f t="shared" si="0"/>
        <v>35.068303167978272</v>
      </c>
      <c r="J26" s="70"/>
      <c r="K26" s="71">
        <f t="shared" si="1"/>
        <v>304.82448138319575</v>
      </c>
      <c r="L26" s="105">
        <v>294.52</v>
      </c>
      <c r="M26" s="105">
        <f t="shared" si="2"/>
        <v>10.304481383195764</v>
      </c>
      <c r="N26" s="105"/>
      <c r="O26" s="107"/>
    </row>
    <row r="27" spans="1:15" x14ac:dyDescent="0.25">
      <c r="A27" s="162"/>
      <c r="B27" s="158" t="s">
        <v>128</v>
      </c>
      <c r="C27" s="67" t="s">
        <v>70</v>
      </c>
      <c r="D27" s="82">
        <f>'SL Basic 3'!M29</f>
        <v>186.90701425754136</v>
      </c>
      <c r="E27" s="69">
        <f t="shared" si="6"/>
        <v>14.95256114060331</v>
      </c>
      <c r="F27" s="69"/>
      <c r="G27" s="69"/>
      <c r="H27" s="69"/>
      <c r="I27" s="69">
        <f t="shared" si="0"/>
        <v>26.241744801758809</v>
      </c>
      <c r="J27" s="70"/>
      <c r="K27" s="71">
        <f t="shared" si="1"/>
        <v>228.10132019990348</v>
      </c>
      <c r="L27" s="105">
        <v>256.02999999999997</v>
      </c>
      <c r="M27" s="106">
        <f t="shared" si="2"/>
        <v>-27.928679800096489</v>
      </c>
      <c r="N27" s="105"/>
      <c r="O27" s="107"/>
    </row>
    <row r="28" spans="1:15" x14ac:dyDescent="0.25">
      <c r="A28" s="162"/>
      <c r="B28" s="159"/>
      <c r="C28" s="72" t="s">
        <v>69</v>
      </c>
      <c r="D28" s="82">
        <f>'SL Basic 3'!M29</f>
        <v>186.90701425754136</v>
      </c>
      <c r="E28" s="69">
        <f t="shared" si="6"/>
        <v>14.95256114060331</v>
      </c>
      <c r="F28" s="69"/>
      <c r="G28" s="69">
        <v>50.52</v>
      </c>
      <c r="H28" s="69"/>
      <c r="I28" s="69">
        <f t="shared" si="0"/>
        <v>32.809344801758812</v>
      </c>
      <c r="J28" s="70"/>
      <c r="K28" s="71">
        <f t="shared" si="1"/>
        <v>285.18892019990346</v>
      </c>
      <c r="L28" s="108">
        <v>276.37</v>
      </c>
      <c r="M28" s="105">
        <f t="shared" si="2"/>
        <v>8.8189201999034594</v>
      </c>
      <c r="N28" s="105"/>
      <c r="O28" s="107"/>
    </row>
    <row r="29" spans="1:15" x14ac:dyDescent="0.25">
      <c r="A29" s="162" t="s">
        <v>131</v>
      </c>
      <c r="B29" s="160" t="s">
        <v>123</v>
      </c>
      <c r="C29" s="112" t="s">
        <v>70</v>
      </c>
      <c r="D29" s="82">
        <f>'SL mod 3'!M15</f>
        <v>278.62388009711299</v>
      </c>
      <c r="E29" s="101">
        <f t="shared" si="6"/>
        <v>22.289910407769039</v>
      </c>
      <c r="F29" s="101"/>
      <c r="G29" s="101"/>
      <c r="H29" s="101"/>
      <c r="I29" s="101">
        <f t="shared" si="0"/>
        <v>39.118792765634659</v>
      </c>
      <c r="J29" s="102"/>
      <c r="K29" s="103">
        <f t="shared" si="1"/>
        <v>340.03258327051668</v>
      </c>
      <c r="L29" s="105">
        <v>339.06</v>
      </c>
      <c r="M29" s="106">
        <f t="shared" si="2"/>
        <v>0.97258327051667948</v>
      </c>
      <c r="N29" s="105"/>
      <c r="O29" s="107"/>
    </row>
    <row r="30" spans="1:15" x14ac:dyDescent="0.25">
      <c r="A30" s="162"/>
      <c r="B30" s="161"/>
      <c r="C30" s="115" t="s">
        <v>133</v>
      </c>
      <c r="D30" s="82">
        <f>'SL mod 3'!M15</f>
        <v>278.62388009711299</v>
      </c>
      <c r="E30" s="101">
        <f t="shared" si="6"/>
        <v>22.289910407769039</v>
      </c>
      <c r="F30" s="101"/>
      <c r="G30" s="101">
        <v>50.52</v>
      </c>
      <c r="H30" s="101"/>
      <c r="I30" s="101">
        <f t="shared" si="0"/>
        <v>45.686392765634658</v>
      </c>
      <c r="J30" s="102"/>
      <c r="K30" s="103">
        <f t="shared" si="1"/>
        <v>397.12018327051663</v>
      </c>
      <c r="L30" s="108">
        <v>359.4</v>
      </c>
      <c r="M30" s="105">
        <f t="shared" si="2"/>
        <v>37.720183270516657</v>
      </c>
      <c r="N30" s="105"/>
      <c r="O30" s="107"/>
    </row>
    <row r="31" spans="1:15" x14ac:dyDescent="0.25">
      <c r="A31" s="162"/>
      <c r="B31" s="158" t="s">
        <v>128</v>
      </c>
      <c r="C31" s="112" t="s">
        <v>70</v>
      </c>
      <c r="D31" s="82">
        <f>'SL mod 3'!M33</f>
        <v>257.81688202322522</v>
      </c>
      <c r="E31" s="101">
        <f t="shared" si="6"/>
        <v>20.625350561858017</v>
      </c>
      <c r="F31" s="101"/>
      <c r="G31" s="101"/>
      <c r="H31" s="101"/>
      <c r="I31" s="101">
        <f t="shared" si="0"/>
        <v>36.197490236060823</v>
      </c>
      <c r="J31" s="102"/>
      <c r="K31" s="103">
        <f t="shared" si="1"/>
        <v>314.63972282114406</v>
      </c>
      <c r="L31" s="105">
        <v>320.91000000000003</v>
      </c>
      <c r="M31" s="106">
        <f t="shared" si="2"/>
        <v>-6.270277178855963</v>
      </c>
      <c r="N31" s="105"/>
      <c r="O31" s="107"/>
    </row>
    <row r="32" spans="1:15" x14ac:dyDescent="0.25">
      <c r="A32" s="162"/>
      <c r="B32" s="159"/>
      <c r="C32" s="115" t="s">
        <v>133</v>
      </c>
      <c r="D32" s="82">
        <f>'SL mod 3'!M33</f>
        <v>257.81688202322522</v>
      </c>
      <c r="E32" s="101">
        <f t="shared" si="6"/>
        <v>20.625350561858017</v>
      </c>
      <c r="F32" s="101"/>
      <c r="G32" s="101">
        <v>50.52</v>
      </c>
      <c r="H32" s="101"/>
      <c r="I32" s="101">
        <f t="shared" si="0"/>
        <v>42.765090236060814</v>
      </c>
      <c r="J32" s="102"/>
      <c r="K32" s="103">
        <f t="shared" si="1"/>
        <v>371.72732282114401</v>
      </c>
      <c r="L32" s="108">
        <v>341.25</v>
      </c>
      <c r="M32" s="105">
        <f t="shared" si="2"/>
        <v>30.477322821144014</v>
      </c>
      <c r="N32" s="105"/>
      <c r="O32" s="107"/>
    </row>
    <row r="33" spans="1:15" x14ac:dyDescent="0.25">
      <c r="A33" s="162" t="s">
        <v>134</v>
      </c>
      <c r="B33" s="160" t="s">
        <v>135</v>
      </c>
      <c r="C33" s="112" t="s">
        <v>70</v>
      </c>
      <c r="D33" s="82">
        <f>'SL int 3'!M17</f>
        <v>291.62074847697085</v>
      </c>
      <c r="E33" s="101">
        <f t="shared" ref="E33:E52" si="7">0.08*D33</f>
        <v>23.329659878157667</v>
      </c>
      <c r="F33" s="101"/>
      <c r="G33" s="101"/>
      <c r="H33" s="101"/>
      <c r="I33" s="101">
        <f t="shared" si="0"/>
        <v>40.943553086166709</v>
      </c>
      <c r="J33" s="102"/>
      <c r="K33" s="103">
        <f>SUM(D33,E33,F33,G33,H33,I33,J33)</f>
        <v>355.89396144129523</v>
      </c>
      <c r="L33" s="105">
        <v>378.74</v>
      </c>
      <c r="M33" s="106">
        <f t="shared" si="2"/>
        <v>-22.846038558704777</v>
      </c>
      <c r="N33" s="105"/>
      <c r="O33" s="107"/>
    </row>
    <row r="34" spans="1:15" x14ac:dyDescent="0.25">
      <c r="A34" s="162"/>
      <c r="B34" s="161"/>
      <c r="C34" s="115" t="s">
        <v>133</v>
      </c>
      <c r="D34" s="82">
        <f>'SL int 3'!M17</f>
        <v>291.62074847697085</v>
      </c>
      <c r="E34" s="101">
        <f t="shared" si="7"/>
        <v>23.329659878157667</v>
      </c>
      <c r="F34" s="101"/>
      <c r="G34" s="101">
        <v>50.52</v>
      </c>
      <c r="H34" s="101"/>
      <c r="I34" s="101">
        <f t="shared" si="0"/>
        <v>47.511153086166708</v>
      </c>
      <c r="J34" s="102"/>
      <c r="K34" s="103">
        <f t="shared" si="1"/>
        <v>412.98156144129518</v>
      </c>
      <c r="L34" s="108">
        <v>399.08</v>
      </c>
      <c r="M34" s="105">
        <f t="shared" si="2"/>
        <v>13.9015614412952</v>
      </c>
      <c r="N34" s="105"/>
      <c r="O34" s="107"/>
    </row>
    <row r="35" spans="1:15" x14ac:dyDescent="0.25">
      <c r="A35" s="162"/>
      <c r="B35" s="160" t="s">
        <v>136</v>
      </c>
      <c r="C35" s="112" t="s">
        <v>70</v>
      </c>
      <c r="D35" s="82">
        <f>'SL int 3'!M35</f>
        <v>372.66764359542572</v>
      </c>
      <c r="E35" s="101">
        <f t="shared" si="7"/>
        <v>29.813411487634056</v>
      </c>
      <c r="F35" s="101"/>
      <c r="G35" s="101"/>
      <c r="H35" s="101"/>
      <c r="I35" s="101">
        <f t="shared" si="0"/>
        <v>52.322537160797779</v>
      </c>
      <c r="J35" s="102"/>
      <c r="K35" s="103">
        <f t="shared" si="1"/>
        <v>454.80359224385757</v>
      </c>
      <c r="L35" s="105">
        <v>438.95</v>
      </c>
      <c r="M35" s="106">
        <f t="shared" si="2"/>
        <v>15.853592243857577</v>
      </c>
      <c r="N35" s="105"/>
      <c r="O35" s="107"/>
    </row>
    <row r="36" spans="1:15" x14ac:dyDescent="0.25">
      <c r="A36" s="162"/>
      <c r="B36" s="161"/>
      <c r="C36" s="115" t="s">
        <v>133</v>
      </c>
      <c r="D36" s="82">
        <f>'SL int 3'!M35</f>
        <v>372.66764359542572</v>
      </c>
      <c r="E36" s="101">
        <f t="shared" si="7"/>
        <v>29.813411487634056</v>
      </c>
      <c r="F36" s="101"/>
      <c r="G36" s="101">
        <v>50.52</v>
      </c>
      <c r="H36" s="101"/>
      <c r="I36" s="101">
        <f t="shared" si="0"/>
        <v>58.890137160797771</v>
      </c>
      <c r="J36" s="102"/>
      <c r="K36" s="103">
        <f t="shared" si="1"/>
        <v>511.89119224385757</v>
      </c>
      <c r="L36" s="108">
        <v>459.29</v>
      </c>
      <c r="M36" s="105">
        <f t="shared" si="2"/>
        <v>52.601192243857554</v>
      </c>
      <c r="N36" s="105"/>
      <c r="O36" s="107"/>
    </row>
    <row r="37" spans="1:15" x14ac:dyDescent="0.25">
      <c r="A37" s="162" t="s">
        <v>137</v>
      </c>
      <c r="B37" s="160" t="s">
        <v>123</v>
      </c>
      <c r="C37" s="112" t="s">
        <v>70</v>
      </c>
      <c r="D37" s="82">
        <f>'SL Basic 2'!M13</f>
        <v>276.43778176385075</v>
      </c>
      <c r="E37" s="101">
        <f t="shared" si="7"/>
        <v>22.115022541108061</v>
      </c>
      <c r="F37" s="101"/>
      <c r="G37" s="101"/>
      <c r="H37" s="101"/>
      <c r="I37" s="101">
        <f t="shared" si="0"/>
        <v>38.811864559644654</v>
      </c>
      <c r="J37" s="102"/>
      <c r="K37" s="103">
        <f t="shared" si="1"/>
        <v>337.36466886460352</v>
      </c>
      <c r="L37" s="105">
        <v>346.04</v>
      </c>
      <c r="M37" s="106">
        <f t="shared" si="2"/>
        <v>-8.6753311353965046</v>
      </c>
      <c r="N37" s="105"/>
      <c r="O37" s="107"/>
    </row>
    <row r="38" spans="1:15" x14ac:dyDescent="0.25">
      <c r="A38" s="162"/>
      <c r="B38" s="161"/>
      <c r="C38" s="115" t="s">
        <v>133</v>
      </c>
      <c r="D38" s="82">
        <f>'SL Basic 2'!M13</f>
        <v>276.43778176385075</v>
      </c>
      <c r="E38" s="101">
        <f t="shared" si="7"/>
        <v>22.115022541108061</v>
      </c>
      <c r="F38" s="101"/>
      <c r="G38" s="101">
        <v>66.790000000000006</v>
      </c>
      <c r="H38" s="101"/>
      <c r="I38" s="101">
        <f t="shared" si="0"/>
        <v>47.494564559644651</v>
      </c>
      <c r="J38" s="102"/>
      <c r="K38" s="103">
        <f t="shared" si="1"/>
        <v>412.83736886460349</v>
      </c>
      <c r="L38" s="105">
        <v>366.38</v>
      </c>
      <c r="M38" s="105">
        <f t="shared" si="2"/>
        <v>46.457368864603495</v>
      </c>
      <c r="N38" s="105"/>
      <c r="O38" s="107"/>
    </row>
    <row r="39" spans="1:15" x14ac:dyDescent="0.25">
      <c r="A39" s="162"/>
      <c r="B39" s="158" t="s">
        <v>128</v>
      </c>
      <c r="C39" s="112" t="s">
        <v>70</v>
      </c>
      <c r="D39" s="82">
        <f>'SL Basic 2'!M29</f>
        <v>251.91214248418399</v>
      </c>
      <c r="E39" s="101">
        <f t="shared" si="7"/>
        <v>20.152971398734721</v>
      </c>
      <c r="F39" s="101"/>
      <c r="G39" s="101"/>
      <c r="H39" s="101"/>
      <c r="I39" s="101">
        <f t="shared" si="0"/>
        <v>35.368464804779428</v>
      </c>
      <c r="J39" s="102"/>
      <c r="K39" s="103">
        <f t="shared" si="1"/>
        <v>307.43357868769812</v>
      </c>
      <c r="L39" s="105">
        <v>319.08999999999997</v>
      </c>
      <c r="M39" s="106">
        <f t="shared" si="2"/>
        <v>-11.656421312301859</v>
      </c>
      <c r="N39" s="105"/>
      <c r="O39" s="107"/>
    </row>
    <row r="40" spans="1:15" x14ac:dyDescent="0.25">
      <c r="A40" s="162"/>
      <c r="B40" s="159"/>
      <c r="C40" s="115" t="s">
        <v>133</v>
      </c>
      <c r="D40" s="82">
        <f>'SL Basic 2'!M29</f>
        <v>251.91214248418399</v>
      </c>
      <c r="E40" s="101">
        <f t="shared" si="7"/>
        <v>20.152971398734721</v>
      </c>
      <c r="F40" s="101"/>
      <c r="G40" s="101">
        <v>66.790000000000006</v>
      </c>
      <c r="H40" s="101"/>
      <c r="I40" s="101">
        <f t="shared" si="0"/>
        <v>44.051164804779432</v>
      </c>
      <c r="J40" s="102"/>
      <c r="K40" s="103">
        <f t="shared" si="1"/>
        <v>382.90627868769815</v>
      </c>
      <c r="L40" s="105">
        <v>339.43</v>
      </c>
      <c r="M40" s="105">
        <f t="shared" si="2"/>
        <v>43.476278687698141</v>
      </c>
      <c r="N40" s="105"/>
      <c r="O40" s="107"/>
    </row>
    <row r="41" spans="1:15" x14ac:dyDescent="0.25">
      <c r="A41" s="162" t="s">
        <v>138</v>
      </c>
      <c r="B41" s="160" t="s">
        <v>135</v>
      </c>
      <c r="C41" s="112" t="s">
        <v>70</v>
      </c>
      <c r="D41" s="82">
        <f>'SL mod (2)'!M15</f>
        <v>328.20939729459394</v>
      </c>
      <c r="E41" s="101">
        <f t="shared" si="7"/>
        <v>26.256751783567516</v>
      </c>
      <c r="F41" s="101"/>
      <c r="G41" s="101"/>
      <c r="H41" s="101"/>
      <c r="I41" s="101">
        <f t="shared" si="0"/>
        <v>46.08059938016099</v>
      </c>
      <c r="J41" s="102"/>
      <c r="K41" s="103">
        <f t="shared" si="1"/>
        <v>400.54674845832244</v>
      </c>
      <c r="L41" s="105">
        <v>410.41</v>
      </c>
      <c r="M41" s="106">
        <f t="shared" si="2"/>
        <v>-9.8632515416775846</v>
      </c>
      <c r="N41" s="105"/>
      <c r="O41" s="107"/>
    </row>
    <row r="42" spans="1:15" x14ac:dyDescent="0.25">
      <c r="A42" s="162"/>
      <c r="B42" s="161"/>
      <c r="C42" s="115" t="s">
        <v>133</v>
      </c>
      <c r="D42" s="82">
        <f>'SL mod (2)'!M15</f>
        <v>328.20939729459394</v>
      </c>
      <c r="E42" s="101">
        <f t="shared" si="7"/>
        <v>26.256751783567516</v>
      </c>
      <c r="F42" s="101"/>
      <c r="G42" s="101">
        <v>66.790000000000006</v>
      </c>
      <c r="H42" s="101"/>
      <c r="I42" s="101">
        <f t="shared" si="0"/>
        <v>54.763299380160994</v>
      </c>
      <c r="J42" s="101"/>
      <c r="K42" s="103">
        <f t="shared" si="1"/>
        <v>476.01944845832247</v>
      </c>
      <c r="L42" s="108">
        <v>430.75</v>
      </c>
      <c r="M42" s="105">
        <f t="shared" si="2"/>
        <v>45.269448458322472</v>
      </c>
      <c r="N42" s="105"/>
      <c r="O42" s="107"/>
    </row>
    <row r="43" spans="1:15" x14ac:dyDescent="0.25">
      <c r="A43" s="162"/>
      <c r="B43" s="160" t="s">
        <v>136</v>
      </c>
      <c r="C43" s="112" t="s">
        <v>70</v>
      </c>
      <c r="D43" s="82">
        <f>'SL mod (2)'!M31</f>
        <v>370.65690833010757</v>
      </c>
      <c r="E43" s="101">
        <f t="shared" si="7"/>
        <v>29.652552666408607</v>
      </c>
      <c r="F43" s="101"/>
      <c r="G43" s="101"/>
      <c r="H43" s="101"/>
      <c r="I43" s="101">
        <f t="shared" si="0"/>
        <v>52.040229929547102</v>
      </c>
      <c r="J43" s="101"/>
      <c r="K43" s="103">
        <f t="shared" si="1"/>
        <v>452.34969092606326</v>
      </c>
      <c r="L43" s="108">
        <v>495.71</v>
      </c>
      <c r="M43" s="106">
        <f t="shared" si="2"/>
        <v>-43.360309073936719</v>
      </c>
      <c r="N43" s="105"/>
      <c r="O43" s="107"/>
    </row>
    <row r="44" spans="1:15" x14ac:dyDescent="0.25">
      <c r="A44" s="162"/>
      <c r="B44" s="161"/>
      <c r="C44" s="115" t="s">
        <v>133</v>
      </c>
      <c r="D44" s="82">
        <f>'SL mod (2)'!M31</f>
        <v>370.65690833010757</v>
      </c>
      <c r="E44" s="101">
        <f t="shared" si="7"/>
        <v>29.652552666408607</v>
      </c>
      <c r="F44" s="101"/>
      <c r="G44" s="101">
        <v>66.790000000000006</v>
      </c>
      <c r="H44" s="101"/>
      <c r="I44" s="101">
        <f t="shared" si="0"/>
        <v>60.722929929547107</v>
      </c>
      <c r="J44" s="101"/>
      <c r="K44" s="103">
        <f t="shared" si="1"/>
        <v>527.82239092606335</v>
      </c>
      <c r="L44" s="108">
        <v>516.04999999999995</v>
      </c>
      <c r="M44" s="105">
        <f t="shared" si="2"/>
        <v>11.772390926063395</v>
      </c>
      <c r="N44" s="105"/>
      <c r="O44" s="107"/>
    </row>
    <row r="45" spans="1:15" x14ac:dyDescent="0.25">
      <c r="A45" s="162" t="s">
        <v>139</v>
      </c>
      <c r="B45" s="160"/>
      <c r="C45" s="112" t="s">
        <v>70</v>
      </c>
      <c r="D45" s="82">
        <f>'SL int (2)'!M17</f>
        <v>445.52416992701598</v>
      </c>
      <c r="E45" s="101">
        <f t="shared" si="7"/>
        <v>35.64193359416128</v>
      </c>
      <c r="F45" s="101"/>
      <c r="G45" s="101"/>
      <c r="H45" s="101"/>
      <c r="I45" s="101">
        <f t="shared" si="0"/>
        <v>62.551593457753043</v>
      </c>
      <c r="J45" s="102"/>
      <c r="K45" s="103">
        <f t="shared" si="1"/>
        <v>543.71769697893035</v>
      </c>
      <c r="L45" s="108">
        <v>534</v>
      </c>
      <c r="M45" s="106">
        <f t="shared" si="2"/>
        <v>9.7176969789303485</v>
      </c>
      <c r="N45" s="105"/>
      <c r="O45" s="107"/>
    </row>
    <row r="46" spans="1:15" x14ac:dyDescent="0.25">
      <c r="A46" s="162"/>
      <c r="B46" s="161"/>
      <c r="C46" s="115" t="s">
        <v>133</v>
      </c>
      <c r="D46" s="82">
        <f>'SL int (2)'!M17</f>
        <v>445.52416992701598</v>
      </c>
      <c r="E46" s="101">
        <f t="shared" si="7"/>
        <v>35.64193359416128</v>
      </c>
      <c r="F46" s="101"/>
      <c r="G46" s="101">
        <v>66.790000000000006</v>
      </c>
      <c r="H46" s="101"/>
      <c r="I46" s="101">
        <f t="shared" si="0"/>
        <v>71.234293457753054</v>
      </c>
      <c r="J46" s="102"/>
      <c r="K46" s="103">
        <f t="shared" si="1"/>
        <v>619.19039697893038</v>
      </c>
      <c r="L46" s="105">
        <v>554.34</v>
      </c>
      <c r="M46" s="105">
        <f t="shared" si="2"/>
        <v>64.850396978930348</v>
      </c>
      <c r="N46" s="105"/>
      <c r="O46" s="107"/>
    </row>
    <row r="47" spans="1:15" x14ac:dyDescent="0.25">
      <c r="A47" s="162"/>
      <c r="B47" s="160"/>
      <c r="C47" s="112"/>
      <c r="D47" s="64"/>
      <c r="E47" s="101">
        <f t="shared" si="7"/>
        <v>0</v>
      </c>
      <c r="F47" s="101"/>
      <c r="G47" s="101"/>
      <c r="H47" s="101"/>
      <c r="I47" s="101"/>
      <c r="J47" s="102"/>
      <c r="K47" s="103"/>
      <c r="L47" s="105"/>
      <c r="M47" s="105">
        <f t="shared" si="2"/>
        <v>0</v>
      </c>
      <c r="N47" s="105"/>
      <c r="O47" s="107"/>
    </row>
    <row r="48" spans="1:15" x14ac:dyDescent="0.25">
      <c r="A48" s="162"/>
      <c r="B48" s="161"/>
      <c r="C48" s="115"/>
      <c r="D48" s="64"/>
      <c r="E48" s="101">
        <f t="shared" si="7"/>
        <v>0</v>
      </c>
      <c r="F48" s="101"/>
      <c r="G48" s="101"/>
      <c r="H48" s="101"/>
      <c r="I48" s="101"/>
      <c r="J48" s="102"/>
      <c r="K48" s="103"/>
      <c r="L48" s="105"/>
      <c r="M48" s="105">
        <f t="shared" si="2"/>
        <v>0</v>
      </c>
      <c r="N48" s="105"/>
      <c r="O48" s="107"/>
    </row>
    <row r="49" spans="1:25" x14ac:dyDescent="0.25">
      <c r="A49" s="169">
        <v>4.2361111111111106E-2</v>
      </c>
      <c r="B49" s="160" t="s">
        <v>123</v>
      </c>
      <c r="C49" s="112" t="s">
        <v>70</v>
      </c>
      <c r="D49" s="82">
        <f>'one to one'!M13</f>
        <v>529.3890828033185</v>
      </c>
      <c r="E49" s="101">
        <f t="shared" si="7"/>
        <v>42.351126624265483</v>
      </c>
      <c r="F49" s="101"/>
      <c r="G49" s="101"/>
      <c r="H49" s="101"/>
      <c r="I49" s="101">
        <f t="shared" si="0"/>
        <v>74.326227225585924</v>
      </c>
      <c r="J49" s="102"/>
      <c r="K49" s="103">
        <f t="shared" si="1"/>
        <v>646.06643665316994</v>
      </c>
      <c r="L49" s="105">
        <v>624.29</v>
      </c>
      <c r="M49" s="105">
        <f t="shared" si="2"/>
        <v>21.776436653169981</v>
      </c>
      <c r="N49" s="105"/>
      <c r="O49" s="107"/>
    </row>
    <row r="50" spans="1:25" x14ac:dyDescent="0.25">
      <c r="A50" s="170"/>
      <c r="B50" s="161"/>
      <c r="C50" s="115" t="s">
        <v>133</v>
      </c>
      <c r="D50" s="82">
        <f>'one to one'!M13</f>
        <v>529.3890828033185</v>
      </c>
      <c r="E50" s="101">
        <f t="shared" si="7"/>
        <v>42.351126624265483</v>
      </c>
      <c r="F50" s="101"/>
      <c r="G50" s="101">
        <v>115.57</v>
      </c>
      <c r="H50" s="101"/>
      <c r="I50" s="101">
        <f t="shared" si="0"/>
        <v>89.350327225585914</v>
      </c>
      <c r="J50" s="102"/>
      <c r="K50" s="103">
        <f t="shared" si="1"/>
        <v>776.66053665316986</v>
      </c>
      <c r="L50" s="105">
        <v>644.63</v>
      </c>
      <c r="M50" s="105">
        <f t="shared" si="2"/>
        <v>132.03053665316986</v>
      </c>
      <c r="N50" s="105"/>
      <c r="O50" s="107"/>
    </row>
    <row r="51" spans="1:25" x14ac:dyDescent="0.25">
      <c r="A51" s="170"/>
      <c r="B51" s="158" t="s">
        <v>128</v>
      </c>
      <c r="C51" s="112" t="s">
        <v>70</v>
      </c>
      <c r="D51" s="82">
        <f>'one to one'!M30</f>
        <v>469.47017409341271</v>
      </c>
      <c r="E51" s="101">
        <f t="shared" si="7"/>
        <v>37.557613927473021</v>
      </c>
      <c r="F51" s="101"/>
      <c r="G51" s="101"/>
      <c r="H51" s="101"/>
      <c r="I51" s="101">
        <f t="shared" si="0"/>
        <v>65.913612442715149</v>
      </c>
      <c r="J51" s="102"/>
      <c r="K51" s="103">
        <f t="shared" si="1"/>
        <v>572.94140046360087</v>
      </c>
      <c r="L51" s="105">
        <v>563.20000000000005</v>
      </c>
      <c r="M51" s="106">
        <f t="shared" si="2"/>
        <v>9.7414004636008258</v>
      </c>
      <c r="N51" s="105"/>
      <c r="O51" s="107"/>
    </row>
    <row r="52" spans="1:25" x14ac:dyDescent="0.25">
      <c r="A52" s="170"/>
      <c r="B52" s="159"/>
      <c r="C52" s="115" t="s">
        <v>133</v>
      </c>
      <c r="D52" s="82">
        <f>'one to one'!M30</f>
        <v>469.47017409341271</v>
      </c>
      <c r="E52" s="101">
        <f t="shared" si="7"/>
        <v>37.557613927473021</v>
      </c>
      <c r="F52" s="101"/>
      <c r="G52" s="101">
        <v>115.57</v>
      </c>
      <c r="H52" s="101"/>
      <c r="I52" s="101">
        <f t="shared" si="0"/>
        <v>80.937712442715139</v>
      </c>
      <c r="J52" s="102"/>
      <c r="K52" s="103">
        <f t="shared" si="1"/>
        <v>703.53550046360078</v>
      </c>
      <c r="L52" s="105">
        <v>583.54</v>
      </c>
      <c r="M52" s="105">
        <f t="shared" si="2"/>
        <v>119.99550046360082</v>
      </c>
      <c r="N52" s="105"/>
      <c r="O52" s="107"/>
    </row>
    <row r="53" spans="1:25" x14ac:dyDescent="0.25">
      <c r="A53" s="162" t="s">
        <v>154</v>
      </c>
      <c r="B53" s="167"/>
      <c r="C53" s="112" t="s">
        <v>70</v>
      </c>
      <c r="D53" s="82">
        <f>'SL int 3'!M52</f>
        <v>423.78735099042501</v>
      </c>
      <c r="E53" s="101">
        <f t="shared" ref="E53:E54" si="8">0.08*D53</f>
        <v>33.902988079233999</v>
      </c>
      <c r="F53" s="101"/>
      <c r="G53" s="101"/>
      <c r="H53" s="101"/>
      <c r="I53" s="101">
        <f t="shared" ref="I53:I54" si="9">(SUM(D53:H53)*0.13)</f>
        <v>59.499744079055674</v>
      </c>
      <c r="J53" s="102"/>
      <c r="K53" s="103">
        <f t="shared" ref="K53:K54" si="10">SUM(D53,E53,F53,G53,H53,I53,J53)</f>
        <v>517.19008314871462</v>
      </c>
      <c r="L53" s="110">
        <v>602.54</v>
      </c>
      <c r="M53" s="116">
        <f t="shared" si="2"/>
        <v>-85.349916851285343</v>
      </c>
      <c r="N53" s="109"/>
      <c r="O53" s="111"/>
    </row>
    <row r="54" spans="1:25" x14ac:dyDescent="0.25">
      <c r="A54" s="162"/>
      <c r="B54" s="168"/>
      <c r="C54" s="115" t="s">
        <v>133</v>
      </c>
      <c r="D54" s="82">
        <f>'SL int 3'!M52</f>
        <v>423.78735099042501</v>
      </c>
      <c r="E54" s="101">
        <f t="shared" si="8"/>
        <v>33.902988079233999</v>
      </c>
      <c r="F54" s="101"/>
      <c r="G54" s="101">
        <v>50.52</v>
      </c>
      <c r="H54" s="101"/>
      <c r="I54" s="101">
        <f t="shared" si="9"/>
        <v>66.067344079055673</v>
      </c>
      <c r="J54" s="102"/>
      <c r="K54" s="103">
        <f t="shared" si="10"/>
        <v>574.27768314871469</v>
      </c>
      <c r="L54" s="110">
        <v>622.88</v>
      </c>
      <c r="M54" s="116">
        <f t="shared" si="2"/>
        <v>-48.602316851285309</v>
      </c>
      <c r="N54" s="109"/>
      <c r="O54" s="111"/>
    </row>
    <row r="55" spans="1:25" x14ac:dyDescent="0.25">
      <c r="A55" s="162"/>
      <c r="B55" s="160"/>
      <c r="C55" s="112"/>
      <c r="D55" s="64"/>
      <c r="E55" s="101"/>
      <c r="F55" s="101"/>
      <c r="G55" s="101"/>
      <c r="H55" s="101"/>
      <c r="I55" s="101"/>
      <c r="J55" s="102"/>
      <c r="K55" s="103"/>
      <c r="L55" s="109"/>
      <c r="M55" s="109"/>
      <c r="N55" s="109"/>
      <c r="O55" s="111"/>
    </row>
    <row r="56" spans="1:25" x14ac:dyDescent="0.25">
      <c r="A56" s="162"/>
      <c r="B56" s="161"/>
      <c r="C56" s="115"/>
      <c r="D56" s="64"/>
      <c r="E56" s="101"/>
      <c r="F56" s="101"/>
      <c r="G56" s="101"/>
      <c r="H56" s="101"/>
      <c r="I56" s="101"/>
      <c r="J56" s="102"/>
      <c r="K56" s="103"/>
      <c r="L56" s="109"/>
      <c r="M56" s="109"/>
      <c r="N56" s="109"/>
      <c r="O56" s="111"/>
    </row>
    <row r="57" spans="1:25" x14ac:dyDescent="0.25">
      <c r="L57" s="26"/>
      <c r="M57" s="26"/>
      <c r="N57" s="26"/>
      <c r="O57" s="27"/>
    </row>
    <row r="58" spans="1:25" x14ac:dyDescent="0.25">
      <c r="H58" s="2"/>
      <c r="I58" s="2"/>
      <c r="K58" s="2"/>
      <c r="L58" s="26"/>
      <c r="M58" s="26"/>
      <c r="N58" s="26"/>
      <c r="O58" s="27"/>
    </row>
    <row r="59" spans="1:25" x14ac:dyDescent="0.25">
      <c r="A59" s="20" t="s">
        <v>47</v>
      </c>
      <c r="D59" s="2"/>
      <c r="E59" s="2"/>
      <c r="F59" s="28"/>
      <c r="G59" s="2"/>
      <c r="L59" s="26"/>
      <c r="M59" s="26"/>
      <c r="N59" s="26"/>
      <c r="O59" s="29"/>
    </row>
    <row r="60" spans="1:25" ht="15" customHeight="1" x14ac:dyDescent="0.25">
      <c r="A60" s="35" t="s">
        <v>40</v>
      </c>
      <c r="E60" s="31">
        <f>(O53/1.055)/393</f>
        <v>0</v>
      </c>
      <c r="F60" s="30" t="s">
        <v>2</v>
      </c>
      <c r="G60" s="30"/>
      <c r="H60" s="49"/>
      <c r="I60" s="49"/>
      <c r="J60" s="30"/>
      <c r="K60" s="26"/>
      <c r="L60" s="26"/>
      <c r="M60" s="26"/>
      <c r="N60" s="26"/>
      <c r="O60" s="26"/>
    </row>
    <row r="61" spans="1:25" ht="15" customHeight="1" x14ac:dyDescent="0.25">
      <c r="A61" s="49"/>
      <c r="B61" s="49"/>
      <c r="C61" s="49"/>
      <c r="D61" s="49"/>
      <c r="E61" s="49"/>
      <c r="F61" s="49"/>
      <c r="G61" s="49"/>
      <c r="H61" s="49"/>
      <c r="I61" s="49"/>
      <c r="K61" s="35"/>
      <c r="L61" s="30"/>
      <c r="M61" s="30"/>
      <c r="N61" s="26"/>
      <c r="O61" s="31"/>
    </row>
    <row r="62" spans="1:25" x14ac:dyDescent="0.25">
      <c r="A62" s="189" t="s">
        <v>197</v>
      </c>
      <c r="B62" s="189"/>
      <c r="C62" s="189"/>
      <c r="D62" s="189"/>
      <c r="E62" s="189"/>
      <c r="F62" s="189"/>
      <c r="G62" s="189"/>
      <c r="H62" s="189"/>
      <c r="I62" s="189"/>
      <c r="J62" s="119" t="s">
        <v>200</v>
      </c>
      <c r="K62" s="96" t="s">
        <v>201</v>
      </c>
      <c r="L62" s="30"/>
      <c r="M62" s="30"/>
      <c r="N62" t="s">
        <v>202</v>
      </c>
    </row>
    <row r="63" spans="1:25" x14ac:dyDescent="0.25">
      <c r="A63" s="189"/>
      <c r="B63" s="189"/>
      <c r="C63" s="189"/>
      <c r="D63" s="189"/>
      <c r="E63" s="189"/>
      <c r="F63" s="189"/>
      <c r="G63" s="189"/>
      <c r="H63" s="189"/>
      <c r="I63" s="189"/>
      <c r="J63" s="32"/>
      <c r="K63" s="96" t="s">
        <v>11</v>
      </c>
      <c r="L63" s="117">
        <v>47528</v>
      </c>
      <c r="M63" s="30"/>
      <c r="N63" s="60" t="s">
        <v>6</v>
      </c>
      <c r="O63" s="60">
        <v>8</v>
      </c>
      <c r="P63" s="60">
        <v>8</v>
      </c>
      <c r="Q63" s="60">
        <v>249</v>
      </c>
      <c r="R63" s="60">
        <f>+P63*Q63</f>
        <v>1992</v>
      </c>
      <c r="S63" s="60">
        <f>+R63/2080</f>
        <v>0.95769230769230773</v>
      </c>
      <c r="T63" s="60">
        <f>'one to one'!$O$3</f>
        <v>13.8</v>
      </c>
      <c r="U63" s="60">
        <v>1.2</v>
      </c>
      <c r="V63" s="60">
        <f>R63*T63*U63</f>
        <v>32987.520000000004</v>
      </c>
      <c r="W63" s="60">
        <f>1/3</f>
        <v>0.33333333333333331</v>
      </c>
      <c r="X63" s="60">
        <f>W63*V63</f>
        <v>10995.84</v>
      </c>
    </row>
    <row r="64" spans="1:25" x14ac:dyDescent="0.25">
      <c r="A64" s="189"/>
      <c r="B64" s="189"/>
      <c r="C64" s="189"/>
      <c r="D64" s="189"/>
      <c r="E64" s="189"/>
      <c r="F64" s="189"/>
      <c r="G64" s="189"/>
      <c r="H64" s="189"/>
      <c r="I64" s="189"/>
      <c r="J64" s="32"/>
      <c r="K64" s="96" t="s">
        <v>12</v>
      </c>
      <c r="L64" s="117">
        <v>76148</v>
      </c>
      <c r="M64" s="30"/>
      <c r="W64" t="s">
        <v>179</v>
      </c>
      <c r="X64" s="60">
        <f>X63/340</f>
        <v>32.340705882352943</v>
      </c>
      <c r="Y64" t="s">
        <v>203</v>
      </c>
    </row>
    <row r="65" spans="1:25" x14ac:dyDescent="0.25">
      <c r="A65" s="189"/>
      <c r="B65" s="189"/>
      <c r="C65" s="189"/>
      <c r="D65" s="189"/>
      <c r="E65" s="189"/>
      <c r="F65" s="189"/>
      <c r="G65" s="189"/>
      <c r="H65" s="189"/>
      <c r="I65" s="189"/>
      <c r="J65" s="32"/>
      <c r="K65" s="96" t="s">
        <v>198</v>
      </c>
      <c r="L65" s="117">
        <v>65270</v>
      </c>
      <c r="M65" s="30"/>
      <c r="N65" t="s">
        <v>6</v>
      </c>
      <c r="O65">
        <v>8</v>
      </c>
      <c r="P65">
        <v>8</v>
      </c>
      <c r="Q65">
        <v>249</v>
      </c>
      <c r="R65">
        <f>+P65*Q65</f>
        <v>1992</v>
      </c>
      <c r="S65">
        <f>+R65/2080</f>
        <v>0.95769230769230773</v>
      </c>
      <c r="T65">
        <f>'one to one'!$O$3</f>
        <v>13.8</v>
      </c>
      <c r="U65">
        <v>1.2</v>
      </c>
      <c r="V65">
        <f>R65*T65*U65</f>
        <v>32987.520000000004</v>
      </c>
      <c r="W65">
        <v>0.25</v>
      </c>
      <c r="X65" s="60">
        <f>W65*V65</f>
        <v>8246.880000000001</v>
      </c>
    </row>
    <row r="66" spans="1:25" x14ac:dyDescent="0.25">
      <c r="A66" s="189"/>
      <c r="B66" s="189"/>
      <c r="C66" s="189"/>
      <c r="D66" s="189"/>
      <c r="E66" s="189"/>
      <c r="F66" s="189"/>
      <c r="G66" s="189"/>
      <c r="H66" s="189"/>
      <c r="I66" s="189"/>
      <c r="J66" s="32"/>
      <c r="K66" s="97" t="s">
        <v>199</v>
      </c>
      <c r="L66" s="118">
        <v>50000</v>
      </c>
      <c r="M66" s="32"/>
      <c r="X66" s="60">
        <f>X65/340</f>
        <v>24.255529411764709</v>
      </c>
      <c r="Y66" t="s">
        <v>151</v>
      </c>
    </row>
    <row r="67" spans="1:25" x14ac:dyDescent="0.25">
      <c r="A67" s="189"/>
      <c r="B67" s="189"/>
      <c r="C67" s="189"/>
      <c r="D67" s="189"/>
      <c r="E67" s="189"/>
      <c r="F67" s="189"/>
      <c r="G67" s="189"/>
      <c r="H67" s="189"/>
      <c r="I67" s="189"/>
      <c r="J67" s="31"/>
      <c r="K67" s="50"/>
      <c r="L67" s="32"/>
      <c r="M67" s="32"/>
      <c r="N67" t="s">
        <v>6</v>
      </c>
      <c r="O67">
        <v>8</v>
      </c>
      <c r="P67">
        <v>8</v>
      </c>
      <c r="Q67">
        <v>249</v>
      </c>
      <c r="R67">
        <f>+P67*Q67</f>
        <v>1992</v>
      </c>
      <c r="S67">
        <f>+R67/2080</f>
        <v>0.95769230769230773</v>
      </c>
      <c r="T67">
        <f>'one to one'!$O$3</f>
        <v>13.8</v>
      </c>
      <c r="U67">
        <v>1.2</v>
      </c>
      <c r="V67">
        <f>R67*T67*U67</f>
        <v>32987.520000000004</v>
      </c>
      <c r="W67">
        <v>0.16700000000000001</v>
      </c>
      <c r="X67" s="60">
        <f>W67*V67</f>
        <v>5508.9158400000006</v>
      </c>
    </row>
    <row r="68" spans="1:25" x14ac:dyDescent="0.25">
      <c r="A68" s="189"/>
      <c r="B68" s="189"/>
      <c r="C68" s="189"/>
      <c r="D68" s="189"/>
      <c r="E68" s="189"/>
      <c r="F68" s="189"/>
      <c r="G68" s="189"/>
      <c r="H68" s="189"/>
      <c r="I68" s="189"/>
      <c r="J68" s="31"/>
      <c r="K68" s="50"/>
      <c r="L68" s="32"/>
      <c r="M68" s="32"/>
      <c r="X68" s="60">
        <f>X67/340</f>
        <v>16.202693647058826</v>
      </c>
      <c r="Y68" t="s">
        <v>152</v>
      </c>
    </row>
    <row r="69" spans="1:25" x14ac:dyDescent="0.25">
      <c r="A69" s="189"/>
      <c r="B69" s="189"/>
      <c r="C69" s="189"/>
      <c r="D69" s="189"/>
      <c r="E69" s="189"/>
      <c r="F69" s="189"/>
      <c r="G69" s="189"/>
      <c r="H69" s="189"/>
      <c r="I69" s="189"/>
      <c r="J69" s="31"/>
      <c r="K69" s="50"/>
      <c r="L69" s="32"/>
      <c r="M69" s="32"/>
      <c r="N69" t="s">
        <v>6</v>
      </c>
      <c r="O69">
        <v>8</v>
      </c>
      <c r="P69">
        <v>8</v>
      </c>
      <c r="Q69">
        <v>249</v>
      </c>
      <c r="R69">
        <f>+P69*Q69</f>
        <v>1992</v>
      </c>
      <c r="S69">
        <f>+R69/2080</f>
        <v>0.95769230769230773</v>
      </c>
      <c r="T69">
        <f>'one to one'!$O$3</f>
        <v>13.8</v>
      </c>
      <c r="U69">
        <v>1.2</v>
      </c>
      <c r="V69">
        <f>R69*T69*U69</f>
        <v>32987.520000000004</v>
      </c>
      <c r="W69">
        <v>0.5</v>
      </c>
      <c r="X69" s="60">
        <f>W69*V69</f>
        <v>16493.760000000002</v>
      </c>
    </row>
    <row r="70" spans="1:25" x14ac:dyDescent="0.25">
      <c r="A70" s="189"/>
      <c r="B70" s="189"/>
      <c r="C70" s="189"/>
      <c r="D70" s="189"/>
      <c r="E70" s="189"/>
      <c r="F70" s="189"/>
      <c r="G70" s="189"/>
      <c r="H70" s="189"/>
      <c r="I70" s="189"/>
      <c r="J70" s="31"/>
      <c r="K70" s="31"/>
      <c r="L70" s="34"/>
      <c r="M70" s="34"/>
      <c r="X70" s="60">
        <f>X69/340</f>
        <v>48.511058823529417</v>
      </c>
      <c r="Y70" t="s">
        <v>204</v>
      </c>
    </row>
    <row r="71" spans="1:25" x14ac:dyDescent="0.25">
      <c r="A71" s="189"/>
      <c r="B71" s="189"/>
      <c r="C71" s="189"/>
      <c r="D71" s="189"/>
      <c r="E71" s="189"/>
      <c r="F71" s="189"/>
      <c r="G71" s="189"/>
      <c r="H71" s="189"/>
      <c r="I71" s="189"/>
      <c r="J71" s="31"/>
      <c r="K71" s="31"/>
      <c r="L71" s="34"/>
      <c r="M71" s="34"/>
      <c r="N71" t="s">
        <v>6</v>
      </c>
      <c r="O71">
        <v>8</v>
      </c>
      <c r="P71">
        <v>8</v>
      </c>
      <c r="Q71">
        <v>249</v>
      </c>
      <c r="R71">
        <f>+P71*Q71</f>
        <v>1992</v>
      </c>
      <c r="S71">
        <f>+R71/2080</f>
        <v>0.95769230769230773</v>
      </c>
      <c r="T71">
        <f>'one to one'!$O$3</f>
        <v>13.8</v>
      </c>
      <c r="U71">
        <v>1.2</v>
      </c>
      <c r="V71">
        <f>R71*T71*U71</f>
        <v>32987.520000000004</v>
      </c>
      <c r="W71">
        <v>1</v>
      </c>
      <c r="X71" s="60">
        <f>W71*V71</f>
        <v>32987.520000000004</v>
      </c>
    </row>
    <row r="72" spans="1:25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31"/>
      <c r="K72" s="31"/>
      <c r="L72" s="34"/>
      <c r="M72" s="34"/>
      <c r="X72" s="60">
        <f>X71/340</f>
        <v>97.022117647058835</v>
      </c>
      <c r="Y72" t="s">
        <v>205</v>
      </c>
    </row>
    <row r="73" spans="1:25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31"/>
      <c r="K73" s="31"/>
      <c r="L73" s="34"/>
      <c r="M73" s="34"/>
      <c r="N73" s="34"/>
      <c r="O73" s="31"/>
    </row>
    <row r="74" spans="1:25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31"/>
      <c r="K74" s="31"/>
      <c r="L74" s="34"/>
      <c r="M74" s="34"/>
      <c r="N74" s="34"/>
      <c r="O74" s="31"/>
    </row>
    <row r="75" spans="1:25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31"/>
      <c r="K75" s="31"/>
      <c r="L75" s="34"/>
      <c r="M75" s="34"/>
      <c r="N75" s="34"/>
      <c r="O75" s="31"/>
    </row>
    <row r="76" spans="1:25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31"/>
      <c r="K76" s="31"/>
      <c r="L76" s="34"/>
      <c r="M76" s="34"/>
      <c r="N76" s="34"/>
      <c r="O76" s="31"/>
    </row>
    <row r="77" spans="1:25" x14ac:dyDescent="0.25">
      <c r="B77" s="30"/>
      <c r="C77" s="30"/>
      <c r="D77" s="33"/>
      <c r="E77" s="31"/>
      <c r="F77" s="34"/>
      <c r="G77" s="33"/>
      <c r="H77" s="31"/>
      <c r="I77" s="31"/>
      <c r="J77" s="31"/>
      <c r="K77" s="31"/>
      <c r="L77" s="34"/>
      <c r="M77" s="34"/>
      <c r="N77" s="34"/>
      <c r="O77" s="31"/>
    </row>
    <row r="78" spans="1:25" x14ac:dyDescent="0.25">
      <c r="B78" s="30"/>
      <c r="C78" s="30"/>
      <c r="D78" s="33"/>
      <c r="E78" s="31"/>
      <c r="F78" s="34"/>
      <c r="G78" s="33"/>
      <c r="H78" s="31"/>
      <c r="I78" s="31"/>
      <c r="J78" s="31"/>
      <c r="K78" s="31"/>
      <c r="L78" s="34"/>
      <c r="M78" s="34"/>
      <c r="N78" s="34"/>
      <c r="O78" s="31"/>
    </row>
    <row r="79" spans="1:25" x14ac:dyDescent="0.25">
      <c r="B79" s="30"/>
      <c r="C79" s="30"/>
      <c r="D79" s="33"/>
      <c r="E79" s="31"/>
      <c r="F79" s="34"/>
      <c r="G79" s="33"/>
      <c r="H79" s="31"/>
      <c r="I79" s="31"/>
      <c r="J79" s="31"/>
      <c r="K79" s="31"/>
      <c r="L79" s="34"/>
      <c r="M79" s="34"/>
      <c r="N79" s="34"/>
      <c r="O79" s="31"/>
    </row>
    <row r="80" spans="1:25" x14ac:dyDescent="0.25">
      <c r="B80" s="30"/>
      <c r="C80" s="30"/>
      <c r="D80" s="33"/>
      <c r="E80" s="31"/>
      <c r="F80" s="34"/>
      <c r="G80" s="33"/>
      <c r="H80" s="31"/>
      <c r="I80" s="31"/>
      <c r="J80" s="31"/>
      <c r="K80" s="31"/>
      <c r="L80" s="34"/>
      <c r="M80" s="34"/>
      <c r="N80" s="34"/>
      <c r="O80" s="31"/>
    </row>
    <row r="81" spans="2:15" x14ac:dyDescent="0.25">
      <c r="B81" s="30"/>
      <c r="C81" s="30"/>
      <c r="D81" s="33"/>
      <c r="E81" s="31"/>
      <c r="F81" s="34"/>
      <c r="G81" s="33"/>
      <c r="H81" s="31"/>
      <c r="I81" s="31"/>
      <c r="J81" s="31"/>
      <c r="K81" s="31"/>
      <c r="L81" s="34"/>
      <c r="M81" s="34"/>
      <c r="N81" s="34"/>
      <c r="O81" s="31"/>
    </row>
    <row r="82" spans="2:15" x14ac:dyDescent="0.25">
      <c r="B82" s="30"/>
      <c r="C82" s="30"/>
      <c r="D82" s="33"/>
      <c r="E82" s="31"/>
      <c r="F82" s="34"/>
      <c r="G82" s="33"/>
      <c r="H82" s="31"/>
      <c r="I82" s="31"/>
      <c r="J82" s="31"/>
      <c r="K82" s="31"/>
      <c r="L82" s="34"/>
      <c r="M82" s="34"/>
      <c r="N82" s="34"/>
      <c r="O82" s="31"/>
    </row>
    <row r="83" spans="2:15" x14ac:dyDescent="0.25">
      <c r="B83" s="30"/>
      <c r="C83" s="30"/>
      <c r="D83" s="33"/>
      <c r="E83" s="31"/>
      <c r="F83" s="48"/>
      <c r="G83" s="33"/>
      <c r="H83" s="31"/>
      <c r="I83" s="31"/>
      <c r="J83" s="31"/>
      <c r="K83" s="31"/>
      <c r="L83" s="34"/>
      <c r="M83" s="34"/>
      <c r="N83" s="34"/>
      <c r="O83" s="31"/>
    </row>
    <row r="84" spans="2:15" x14ac:dyDescent="0.25">
      <c r="B84" s="30"/>
      <c r="C84" s="30"/>
      <c r="D84" s="33"/>
      <c r="E84" s="31"/>
      <c r="F84" s="34"/>
      <c r="G84" s="33"/>
      <c r="H84" s="31"/>
      <c r="I84" s="31"/>
      <c r="J84" s="31"/>
      <c r="K84" s="31"/>
      <c r="L84" s="34"/>
      <c r="M84" s="34"/>
      <c r="N84" s="34"/>
      <c r="O84" s="31"/>
    </row>
    <row r="85" spans="2:15" x14ac:dyDescent="0.25">
      <c r="B85" s="30"/>
      <c r="C85" s="30"/>
      <c r="D85" s="33"/>
      <c r="E85" s="31"/>
      <c r="F85" s="34"/>
      <c r="G85" s="33"/>
      <c r="H85" s="31"/>
      <c r="I85" s="31"/>
      <c r="J85" s="31"/>
      <c r="K85" s="31"/>
      <c r="L85" s="34"/>
      <c r="M85" s="34"/>
      <c r="N85" s="34"/>
      <c r="O85" s="31"/>
    </row>
    <row r="86" spans="2:15" x14ac:dyDescent="0.25">
      <c r="B86" s="30"/>
      <c r="C86" s="30"/>
      <c r="D86" s="33"/>
      <c r="E86" s="31"/>
      <c r="F86" s="34"/>
      <c r="G86" s="33"/>
      <c r="H86" s="31"/>
      <c r="I86" s="31"/>
      <c r="J86" s="31"/>
      <c r="K86" s="31"/>
      <c r="L86" s="34"/>
      <c r="M86" s="34"/>
      <c r="N86" s="34"/>
      <c r="O86" s="31"/>
    </row>
    <row r="87" spans="2:15" x14ac:dyDescent="0.25">
      <c r="B87" s="30"/>
      <c r="C87" s="30"/>
      <c r="D87" s="33"/>
      <c r="E87" s="31"/>
      <c r="F87" s="34"/>
      <c r="G87" s="33"/>
      <c r="H87" s="31"/>
      <c r="I87" s="31"/>
      <c r="J87" s="31"/>
      <c r="K87" s="31"/>
      <c r="L87" s="34"/>
      <c r="M87" s="34"/>
      <c r="N87" s="34"/>
      <c r="O87" s="31"/>
    </row>
    <row r="88" spans="2:15" x14ac:dyDescent="0.25">
      <c r="B88" s="30"/>
      <c r="C88" s="30"/>
      <c r="D88" s="31"/>
      <c r="E88" s="31"/>
      <c r="F88" s="34"/>
      <c r="G88" s="33"/>
      <c r="H88" s="31"/>
      <c r="I88" s="31"/>
      <c r="J88" s="31"/>
      <c r="K88" s="31"/>
      <c r="L88" s="34"/>
      <c r="M88" s="34"/>
      <c r="N88" s="34"/>
      <c r="O88" s="31"/>
    </row>
    <row r="89" spans="2:15" x14ac:dyDescent="0.25">
      <c r="F89" s="34"/>
      <c r="G89" s="33"/>
    </row>
  </sheetData>
  <mergeCells count="55">
    <mergeCell ref="A62:I71"/>
    <mergeCell ref="L2:L4"/>
    <mergeCell ref="A2:A4"/>
    <mergeCell ref="B2:B4"/>
    <mergeCell ref="D2:D4"/>
    <mergeCell ref="E2:E4"/>
    <mergeCell ref="A9:A12"/>
    <mergeCell ref="B17:B18"/>
    <mergeCell ref="B19:B20"/>
    <mergeCell ref="A17:A20"/>
    <mergeCell ref="A5:A8"/>
    <mergeCell ref="F2:F4"/>
    <mergeCell ref="G2:G4"/>
    <mergeCell ref="B5:B6"/>
    <mergeCell ref="C2:C4"/>
    <mergeCell ref="B7:B8"/>
    <mergeCell ref="N2:N4"/>
    <mergeCell ref="O2:O4"/>
    <mergeCell ref="B11:B12"/>
    <mergeCell ref="B9:B10"/>
    <mergeCell ref="B37:B38"/>
    <mergeCell ref="B29:B30"/>
    <mergeCell ref="B31:B32"/>
    <mergeCell ref="B33:B34"/>
    <mergeCell ref="B35:B36"/>
    <mergeCell ref="H2:H4"/>
    <mergeCell ref="I2:I4"/>
    <mergeCell ref="J2:J4"/>
    <mergeCell ref="K2:K4"/>
    <mergeCell ref="M2:M4"/>
    <mergeCell ref="A13:A16"/>
    <mergeCell ref="B13:B14"/>
    <mergeCell ref="B15:B16"/>
    <mergeCell ref="B25:B26"/>
    <mergeCell ref="B27:B28"/>
    <mergeCell ref="A25:A28"/>
    <mergeCell ref="B45:B46"/>
    <mergeCell ref="A53:A56"/>
    <mergeCell ref="B53:B54"/>
    <mergeCell ref="B55:B56"/>
    <mergeCell ref="B51:B52"/>
    <mergeCell ref="A45:A48"/>
    <mergeCell ref="A49:A52"/>
    <mergeCell ref="B47:B48"/>
    <mergeCell ref="B49:B50"/>
    <mergeCell ref="B39:B40"/>
    <mergeCell ref="B41:B42"/>
    <mergeCell ref="B43:B44"/>
    <mergeCell ref="A37:A40"/>
    <mergeCell ref="B21:B22"/>
    <mergeCell ref="A21:A24"/>
    <mergeCell ref="B23:B24"/>
    <mergeCell ref="A29:A32"/>
    <mergeCell ref="A33:A36"/>
    <mergeCell ref="A41:A44"/>
  </mergeCells>
  <phoneticPr fontId="7" type="noConversion"/>
  <pageMargins left="0.7" right="0.7" top="0.75" bottom="0.75" header="0.3" footer="0.3"/>
  <pageSetup scale="85" fitToHeight="0" orientation="landscape" r:id="rId1"/>
  <headerFooter>
    <oddHeader>&amp;C&amp;F // 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topLeftCell="D1" zoomScaleNormal="100" workbookViewId="0">
      <selection activeCell="M18" sqref="M18"/>
    </sheetView>
  </sheetViews>
  <sheetFormatPr defaultRowHeight="15" x14ac:dyDescent="0.25"/>
  <cols>
    <col min="1" max="1" width="17.5703125" customWidth="1"/>
    <col min="2" max="3" width="16.28515625" customWidth="1"/>
    <col min="4" max="4" width="13" customWidth="1"/>
    <col min="5" max="5" width="16" customWidth="1"/>
    <col min="6" max="6" width="11.5703125" bestFit="1" customWidth="1"/>
    <col min="7" max="7" width="13.5703125" customWidth="1"/>
    <col min="8" max="9" width="22.7109375" customWidth="1"/>
    <col min="10" max="10" width="16.7109375" customWidth="1"/>
    <col min="11" max="11" width="13" customWidth="1"/>
    <col min="12" max="12" width="12.42578125" customWidth="1"/>
  </cols>
  <sheetData>
    <row r="1" spans="1:16" x14ac:dyDescent="0.25">
      <c r="B1" s="56" t="s">
        <v>71</v>
      </c>
      <c r="C1" s="56" t="s">
        <v>167</v>
      </c>
      <c r="D1" s="56" t="s">
        <v>72</v>
      </c>
      <c r="E1" s="56" t="s">
        <v>89</v>
      </c>
      <c r="F1" s="56" t="s">
        <v>68</v>
      </c>
      <c r="G1" s="56"/>
      <c r="H1" s="56" t="s">
        <v>106</v>
      </c>
      <c r="I1" s="56" t="s">
        <v>163</v>
      </c>
      <c r="J1" s="56" t="s">
        <v>102</v>
      </c>
      <c r="K1" s="56" t="s">
        <v>74</v>
      </c>
      <c r="L1" t="s">
        <v>165</v>
      </c>
    </row>
    <row r="2" spans="1:16" x14ac:dyDescent="0.25">
      <c r="B2" s="56"/>
      <c r="C2" s="56"/>
      <c r="D2" s="56"/>
      <c r="E2" s="56"/>
      <c r="F2" s="56"/>
      <c r="G2" s="56"/>
      <c r="H2" s="56" t="s">
        <v>162</v>
      </c>
      <c r="I2" s="56"/>
      <c r="J2" s="56" t="s">
        <v>73</v>
      </c>
      <c r="K2" s="56"/>
    </row>
    <row r="4" spans="1:16" x14ac:dyDescent="0.25">
      <c r="A4" s="56" t="s">
        <v>75</v>
      </c>
      <c r="B4" s="80">
        <f>'one to one'!$O$3</f>
        <v>13.8</v>
      </c>
      <c r="C4" s="80">
        <v>11.5</v>
      </c>
      <c r="D4" s="80">
        <v>13</v>
      </c>
      <c r="E4" s="80">
        <f>'one to one'!$O$3</f>
        <v>13.8</v>
      </c>
      <c r="F4" s="80">
        <f>'one to one'!$O$3</f>
        <v>13.8</v>
      </c>
      <c r="G4" s="80"/>
      <c r="H4" s="80">
        <f>'one to one'!$O$3</f>
        <v>13.8</v>
      </c>
      <c r="I4" s="78">
        <f>'one to one'!O3</f>
        <v>13.8</v>
      </c>
      <c r="J4" s="78">
        <f>19.75*(1+'one to one'!Q3)</f>
        <v>21.804000000000002</v>
      </c>
      <c r="K4" s="78">
        <f>19.75*(1+'one to one'!Q3)</f>
        <v>21.804000000000002</v>
      </c>
      <c r="L4" s="98">
        <v>15.3</v>
      </c>
    </row>
    <row r="5" spans="1:16" x14ac:dyDescent="0.25">
      <c r="A5" s="56" t="s">
        <v>76</v>
      </c>
    </row>
    <row r="6" spans="1:16" x14ac:dyDescent="0.25">
      <c r="A6" s="56">
        <v>2080</v>
      </c>
      <c r="B6" s="60">
        <f t="shared" ref="B6:I6" si="0">2080*B4</f>
        <v>28704</v>
      </c>
      <c r="C6" s="60">
        <f>2080*C4</f>
        <v>23920</v>
      </c>
      <c r="D6" s="60">
        <f>2080*D4</f>
        <v>27040</v>
      </c>
      <c r="E6" s="60">
        <f t="shared" si="0"/>
        <v>28704</v>
      </c>
      <c r="F6" s="60">
        <f t="shared" si="0"/>
        <v>28704</v>
      </c>
      <c r="G6" s="60"/>
      <c r="H6" s="60">
        <f>2080*H4</f>
        <v>28704</v>
      </c>
      <c r="I6" s="60">
        <f t="shared" si="0"/>
        <v>28704</v>
      </c>
      <c r="J6" s="60">
        <f>2080*J4</f>
        <v>45352.320000000007</v>
      </c>
      <c r="K6" s="60">
        <f>K4*2080</f>
        <v>45352.320000000007</v>
      </c>
      <c r="L6">
        <f>L4*2080</f>
        <v>31824</v>
      </c>
    </row>
    <row r="7" spans="1:16" x14ac:dyDescent="0.25">
      <c r="A7" s="56" t="s">
        <v>101</v>
      </c>
      <c r="B7" s="60">
        <f>B6*1.1</f>
        <v>31574.400000000001</v>
      </c>
      <c r="C7" s="60">
        <f>C6*1.09</f>
        <v>26072.800000000003</v>
      </c>
      <c r="D7" s="60">
        <f>D6*1.09</f>
        <v>29473.600000000002</v>
      </c>
      <c r="E7" s="60">
        <f>E6*1.1</f>
        <v>31574.400000000001</v>
      </c>
      <c r="F7" s="60">
        <f>F6*1.1</f>
        <v>31574.400000000001</v>
      </c>
      <c r="G7" s="60"/>
      <c r="H7" s="60">
        <f>H6*1.1</f>
        <v>31574.400000000001</v>
      </c>
      <c r="I7" s="60">
        <f>I6*1.1</f>
        <v>31574.400000000001</v>
      </c>
      <c r="J7" s="60">
        <f>J6*1.15</f>
        <v>52155.168000000005</v>
      </c>
      <c r="K7" s="60">
        <f>K6*1.12</f>
        <v>50794.59840000001</v>
      </c>
      <c r="L7">
        <f>L6*1.15</f>
        <v>36597.599999999999</v>
      </c>
    </row>
    <row r="8" spans="1:16" x14ac:dyDescent="0.25">
      <c r="A8" s="56" t="s">
        <v>77</v>
      </c>
      <c r="B8" s="52">
        <v>0.2</v>
      </c>
      <c r="C8" s="52">
        <v>0.2</v>
      </c>
      <c r="D8" s="52">
        <v>0.2</v>
      </c>
      <c r="E8" s="52">
        <v>0.2</v>
      </c>
      <c r="F8" s="52">
        <v>0.2</v>
      </c>
      <c r="G8" s="52"/>
      <c r="H8" s="52">
        <v>0.2</v>
      </c>
      <c r="I8" s="52">
        <v>0.22</v>
      </c>
      <c r="J8" s="52">
        <v>0.22</v>
      </c>
      <c r="K8" s="52">
        <v>0.22</v>
      </c>
      <c r="L8" s="52">
        <v>0.22</v>
      </c>
    </row>
    <row r="9" spans="1:16" x14ac:dyDescent="0.25">
      <c r="A9" s="56"/>
      <c r="B9" s="60">
        <f t="shared" ref="B9:F9" si="1">B7*1.2</f>
        <v>37889.279999999999</v>
      </c>
      <c r="C9" s="60">
        <f t="shared" ref="C9" si="2">C7*1.2</f>
        <v>31287.360000000001</v>
      </c>
      <c r="D9" s="60">
        <f t="shared" si="1"/>
        <v>35368.32</v>
      </c>
      <c r="E9" s="60">
        <f t="shared" si="1"/>
        <v>37889.279999999999</v>
      </c>
      <c r="F9" s="60">
        <f t="shared" si="1"/>
        <v>37889.279999999999</v>
      </c>
      <c r="G9" s="60"/>
      <c r="H9" s="60">
        <f>H7*1.2</f>
        <v>37889.279999999999</v>
      </c>
      <c r="I9" s="60">
        <f>I7*1.22</f>
        <v>38520.768000000004</v>
      </c>
      <c r="J9" s="60">
        <f>J7*1.22</f>
        <v>63629.304960000001</v>
      </c>
      <c r="K9" s="60">
        <f>K7*1.22</f>
        <v>61969.410048000012</v>
      </c>
      <c r="L9">
        <f t="shared" ref="L9" si="3">L7*1.22</f>
        <v>44649.072</v>
      </c>
    </row>
    <row r="10" spans="1:16" x14ac:dyDescent="0.25">
      <c r="A10" s="56" t="s">
        <v>100</v>
      </c>
      <c r="G10" s="61"/>
      <c r="H10" s="60"/>
      <c r="I10" s="60">
        <f>I9*1.15</f>
        <v>44298.883200000004</v>
      </c>
      <c r="J10" s="60">
        <f>J9*1.15</f>
        <v>73173.700704000003</v>
      </c>
      <c r="K10" s="60">
        <f>K9*1.1</f>
        <v>68166.351052800019</v>
      </c>
      <c r="L10">
        <f>L9*1.15</f>
        <v>51346.432799999995</v>
      </c>
      <c r="P10" s="75"/>
    </row>
    <row r="11" spans="1:16" x14ac:dyDescent="0.25">
      <c r="A11" s="59" t="s">
        <v>90</v>
      </c>
      <c r="B11" s="60">
        <f>B9*1.13</f>
        <v>42814.886399999996</v>
      </c>
      <c r="C11" s="60">
        <f>C9*1.08</f>
        <v>33790.3488</v>
      </c>
      <c r="D11" s="60">
        <f>D9*1.08</f>
        <v>38197.785600000003</v>
      </c>
      <c r="E11" s="60">
        <f>E9*1.16</f>
        <v>43951.564799999993</v>
      </c>
      <c r="F11" s="60">
        <f>F9*1.16</f>
        <v>43951.564799999993</v>
      </c>
      <c r="G11" s="60"/>
      <c r="H11" s="60">
        <f>H9*1.12</f>
        <v>42435.993600000002</v>
      </c>
      <c r="I11" s="60">
        <f>I10*1.2</f>
        <v>53158.65984</v>
      </c>
      <c r="J11" s="60">
        <f>J10*1.2</f>
        <v>87808.440844800003</v>
      </c>
      <c r="K11" s="60">
        <f>K10*1.15</f>
        <v>78391.303710720022</v>
      </c>
      <c r="L11">
        <f>L9*1.35</f>
        <v>60276.247200000005</v>
      </c>
    </row>
    <row r="12" spans="1:16" x14ac:dyDescent="0.25">
      <c r="A12" s="59"/>
      <c r="B12" s="52">
        <v>0.13</v>
      </c>
      <c r="C12" s="52">
        <v>0.08</v>
      </c>
      <c r="D12" s="52">
        <v>0.08</v>
      </c>
      <c r="E12" s="52">
        <v>0.16</v>
      </c>
      <c r="F12" s="52">
        <v>0.16</v>
      </c>
      <c r="G12" s="62"/>
      <c r="H12" s="52">
        <v>0.12</v>
      </c>
      <c r="I12" s="52">
        <v>0.2</v>
      </c>
      <c r="J12" s="52">
        <v>0.2</v>
      </c>
      <c r="K12" s="52">
        <v>0.15</v>
      </c>
      <c r="L12" s="75">
        <v>0.35</v>
      </c>
    </row>
    <row r="13" spans="1:16" x14ac:dyDescent="0.25">
      <c r="A13" s="57" t="s">
        <v>78</v>
      </c>
      <c r="E13" s="60">
        <v>4680</v>
      </c>
      <c r="L13" s="52"/>
    </row>
    <row r="14" spans="1:16" x14ac:dyDescent="0.25">
      <c r="A14" s="57" t="s">
        <v>168</v>
      </c>
      <c r="E14" s="60">
        <f>SUM(E11:E13)</f>
        <v>48631.724799999996</v>
      </c>
      <c r="G14" s="2"/>
      <c r="L14" s="52"/>
    </row>
    <row r="15" spans="1:16" x14ac:dyDescent="0.25">
      <c r="A15" s="57" t="s">
        <v>79</v>
      </c>
      <c r="B15" s="60">
        <f>B11*1.13</f>
        <v>48380.821631999992</v>
      </c>
      <c r="C15" s="60">
        <f>C11*1.13</f>
        <v>38183.094143999995</v>
      </c>
      <c r="D15" s="60">
        <f>D11*1.13</f>
        <v>43163.497728000002</v>
      </c>
      <c r="E15" s="60">
        <f>E14*1.13</f>
        <v>54953.849023999988</v>
      </c>
      <c r="F15" s="60">
        <f t="shared" ref="F15:L15" si="4">F11*1.13</f>
        <v>49665.268223999985</v>
      </c>
      <c r="G15" s="60"/>
      <c r="H15" s="60">
        <f t="shared" si="4"/>
        <v>47952.672767999997</v>
      </c>
      <c r="I15" s="60">
        <f t="shared" si="4"/>
        <v>60069.285619199996</v>
      </c>
      <c r="J15" s="60">
        <f t="shared" si="4"/>
        <v>99223.538154623995</v>
      </c>
      <c r="K15" s="60">
        <f t="shared" si="4"/>
        <v>88582.173193113616</v>
      </c>
      <c r="L15">
        <f t="shared" si="4"/>
        <v>68112.159335999997</v>
      </c>
    </row>
    <row r="16" spans="1:16" x14ac:dyDescent="0.25">
      <c r="A16" s="56"/>
      <c r="L16" s="52"/>
      <c r="M16" t="s">
        <v>166</v>
      </c>
    </row>
    <row r="17" spans="1:14" x14ac:dyDescent="0.25">
      <c r="A17" s="142" t="s">
        <v>91</v>
      </c>
      <c r="B17" s="143">
        <f t="shared" ref="B17:L17" si="5">B15/2080</f>
        <v>23.260010399999995</v>
      </c>
      <c r="C17" s="143">
        <f t="shared" ref="C17" si="6">C15/2080</f>
        <v>18.357256799999998</v>
      </c>
      <c r="D17" s="143">
        <f t="shared" si="5"/>
        <v>20.751681600000001</v>
      </c>
      <c r="E17" s="143">
        <f t="shared" si="5"/>
        <v>26.420119723076919</v>
      </c>
      <c r="F17" s="143">
        <f>F15/2080</f>
        <v>23.877532799999994</v>
      </c>
      <c r="G17" s="143"/>
      <c r="H17" s="143">
        <f t="shared" si="5"/>
        <v>23.054169599999998</v>
      </c>
      <c r="I17" s="143">
        <f t="shared" si="5"/>
        <v>28.879464239999997</v>
      </c>
      <c r="J17" s="143">
        <f t="shared" si="5"/>
        <v>47.7036241128</v>
      </c>
      <c r="K17" s="138">
        <f t="shared" si="5"/>
        <v>42.58758326592001</v>
      </c>
      <c r="L17" s="138">
        <f t="shared" si="5"/>
        <v>32.746230449999999</v>
      </c>
      <c r="M17" s="143">
        <f>L17*((1+(0.15)))/1</f>
        <v>37.658165017499996</v>
      </c>
      <c r="N17" s="139"/>
    </row>
    <row r="18" spans="1:14" x14ac:dyDescent="0.25">
      <c r="A18" s="141" t="s">
        <v>216</v>
      </c>
      <c r="B18" s="144">
        <v>5.82</v>
      </c>
      <c r="C18" s="144">
        <v>4.59</v>
      </c>
      <c r="D18" s="145">
        <v>5.19</v>
      </c>
      <c r="E18" s="145">
        <v>6.61</v>
      </c>
      <c r="F18" s="145">
        <v>5.97</v>
      </c>
      <c r="G18" s="146"/>
      <c r="H18" s="147">
        <v>5.76</v>
      </c>
      <c r="I18" s="147">
        <v>7.22</v>
      </c>
      <c r="J18" s="147">
        <v>11.93</v>
      </c>
      <c r="K18" s="143">
        <f>K17*((1+(0.15*4)))/4</f>
        <v>17.035033306368003</v>
      </c>
      <c r="L18" s="143">
        <f>L17*((1+(0.15*2)))/2</f>
        <v>21.285049792500001</v>
      </c>
      <c r="M18" s="147">
        <v>9.42</v>
      </c>
      <c r="N18" s="25"/>
    </row>
    <row r="19" spans="1:14" x14ac:dyDescent="0.25">
      <c r="B19" s="25"/>
      <c r="C19" s="25"/>
      <c r="D19" s="25"/>
      <c r="E19" s="25"/>
      <c r="F19" s="25"/>
      <c r="G19" s="140"/>
      <c r="H19" s="138"/>
      <c r="I19" s="138"/>
      <c r="J19" s="25"/>
      <c r="K19" s="139" t="s">
        <v>217</v>
      </c>
      <c r="L19" s="139" t="s">
        <v>218</v>
      </c>
      <c r="M19" s="25"/>
      <c r="N19" s="25"/>
    </row>
    <row r="20" spans="1:14" x14ac:dyDescent="0.25">
      <c r="G20" s="120"/>
      <c r="K20" s="148">
        <v>4.26</v>
      </c>
      <c r="L20" s="148">
        <v>5.32</v>
      </c>
    </row>
    <row r="22" spans="1:14" x14ac:dyDescent="0.25">
      <c r="A22" t="s">
        <v>105</v>
      </c>
      <c r="D22" t="s">
        <v>104</v>
      </c>
    </row>
    <row r="23" spans="1:14" x14ac:dyDescent="0.25">
      <c r="A23" s="56" t="s">
        <v>80</v>
      </c>
      <c r="D23">
        <v>2080</v>
      </c>
    </row>
    <row r="24" spans="1:14" x14ac:dyDescent="0.25">
      <c r="A24" s="55" t="s">
        <v>81</v>
      </c>
      <c r="D24">
        <v>-80</v>
      </c>
      <c r="J24" s="56" t="s">
        <v>92</v>
      </c>
    </row>
    <row r="25" spans="1:14" x14ac:dyDescent="0.25">
      <c r="A25" t="s">
        <v>82</v>
      </c>
      <c r="B25" t="s">
        <v>93</v>
      </c>
      <c r="D25">
        <v>-88</v>
      </c>
    </row>
    <row r="26" spans="1:14" x14ac:dyDescent="0.25">
      <c r="J26">
        <v>1776</v>
      </c>
    </row>
    <row r="27" spans="1:14" x14ac:dyDescent="0.25">
      <c r="A27" t="s">
        <v>83</v>
      </c>
      <c r="D27">
        <v>-40</v>
      </c>
      <c r="J27">
        <v>-52</v>
      </c>
      <c r="K27" t="s">
        <v>84</v>
      </c>
    </row>
    <row r="28" spans="1:14" x14ac:dyDescent="0.25">
      <c r="A28" t="s">
        <v>85</v>
      </c>
      <c r="D28">
        <v>-52</v>
      </c>
      <c r="J28">
        <f>SUM(J26:J27)</f>
        <v>1724</v>
      </c>
      <c r="K28" t="s">
        <v>94</v>
      </c>
    </row>
    <row r="29" spans="1:14" x14ac:dyDescent="0.25">
      <c r="D29">
        <f>SUM(D23:D28)</f>
        <v>1820</v>
      </c>
    </row>
    <row r="30" spans="1:14" x14ac:dyDescent="0.25">
      <c r="A30" s="56" t="s">
        <v>86</v>
      </c>
    </row>
    <row r="31" spans="1:14" x14ac:dyDescent="0.25">
      <c r="A31" t="s">
        <v>87</v>
      </c>
    </row>
    <row r="32" spans="1:14" x14ac:dyDescent="0.25">
      <c r="A32" t="s">
        <v>83</v>
      </c>
    </row>
    <row r="33" spans="1:6" x14ac:dyDescent="0.25">
      <c r="A33" t="s">
        <v>85</v>
      </c>
    </row>
    <row r="36" spans="1:6" x14ac:dyDescent="0.25">
      <c r="A36" s="57" t="s">
        <v>112</v>
      </c>
      <c r="B36" s="58" t="s">
        <v>95</v>
      </c>
      <c r="C36" s="58"/>
      <c r="D36" t="s">
        <v>96</v>
      </c>
      <c r="E36" t="s">
        <v>99</v>
      </c>
      <c r="F36" t="s">
        <v>107</v>
      </c>
    </row>
    <row r="37" spans="1:6" x14ac:dyDescent="0.25">
      <c r="A37" t="s">
        <v>88</v>
      </c>
      <c r="B37">
        <f>3*1776</f>
        <v>5328</v>
      </c>
      <c r="D37">
        <f>6*1776</f>
        <v>10656</v>
      </c>
      <c r="E37">
        <f>1820*6</f>
        <v>10920</v>
      </c>
    </row>
    <row r="38" spans="1:6" x14ac:dyDescent="0.25">
      <c r="A38" t="s">
        <v>98</v>
      </c>
      <c r="B38">
        <f>7*1988</f>
        <v>13916</v>
      </c>
      <c r="D38">
        <f>4*1988</f>
        <v>7952</v>
      </c>
      <c r="E38">
        <f>4*1988</f>
        <v>7952</v>
      </c>
    </row>
    <row r="39" spans="1:6" x14ac:dyDescent="0.25">
      <c r="B39">
        <f>SUM(B37:B38)</f>
        <v>19244</v>
      </c>
      <c r="D39">
        <f>SUM(D37:D38)</f>
        <v>18608</v>
      </c>
      <c r="E39">
        <f>SUM(E37:E38)</f>
        <v>18872</v>
      </c>
    </row>
    <row r="40" spans="1:6" x14ac:dyDescent="0.25">
      <c r="B40">
        <f>19244/10</f>
        <v>1924.4</v>
      </c>
      <c r="D40">
        <f>18608/10</f>
        <v>1860.8</v>
      </c>
      <c r="E40">
        <f>18872/10</f>
        <v>1887.2</v>
      </c>
    </row>
    <row r="41" spans="1:6" x14ac:dyDescent="0.25">
      <c r="B41" t="s">
        <v>103</v>
      </c>
      <c r="D41">
        <v>1.1000000000000001</v>
      </c>
      <c r="E41">
        <v>1.1000000000000001</v>
      </c>
      <c r="F41">
        <v>1.1499999999999999</v>
      </c>
    </row>
    <row r="43" spans="1:6" x14ac:dyDescent="0.25">
      <c r="A43" s="56" t="s">
        <v>97</v>
      </c>
    </row>
    <row r="44" spans="1:6" x14ac:dyDescent="0.25">
      <c r="A44" t="s">
        <v>108</v>
      </c>
    </row>
    <row r="45" spans="1:6" x14ac:dyDescent="0.25">
      <c r="A45" t="s">
        <v>206</v>
      </c>
    </row>
    <row r="46" spans="1:6" x14ac:dyDescent="0.25">
      <c r="A46" t="s">
        <v>116</v>
      </c>
    </row>
    <row r="47" spans="1:6" x14ac:dyDescent="0.25">
      <c r="A47" t="s">
        <v>117</v>
      </c>
    </row>
    <row r="48" spans="1:6" x14ac:dyDescent="0.25">
      <c r="A48" t="s">
        <v>109</v>
      </c>
    </row>
    <row r="50" spans="1:2" x14ac:dyDescent="0.25">
      <c r="A50" t="s">
        <v>110</v>
      </c>
    </row>
    <row r="51" spans="1:2" x14ac:dyDescent="0.25">
      <c r="A51" t="s">
        <v>111</v>
      </c>
    </row>
    <row r="52" spans="1:2" x14ac:dyDescent="0.25">
      <c r="A52" t="s">
        <v>113</v>
      </c>
    </row>
    <row r="53" spans="1:2" x14ac:dyDescent="0.25">
      <c r="A53" t="s">
        <v>114</v>
      </c>
      <c r="B53" t="s">
        <v>115</v>
      </c>
    </row>
  </sheetData>
  <pageMargins left="0.7" right="0.7" top="0.75" bottom="0.75" header="0.3" footer="0.3"/>
  <pageSetup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2"/>
  <sheetViews>
    <sheetView topLeftCell="B28" workbookViewId="0">
      <selection activeCell="M53" sqref="M53"/>
    </sheetView>
  </sheetViews>
  <sheetFormatPr defaultRowHeight="15" x14ac:dyDescent="0.25"/>
  <cols>
    <col min="1" max="1" width="21.85546875" customWidth="1"/>
    <col min="11" max="11" width="13.5703125" customWidth="1"/>
    <col min="13" max="13" width="13.42578125" customWidth="1"/>
  </cols>
  <sheetData>
    <row r="2" spans="1:18" ht="45" x14ac:dyDescent="0.25">
      <c r="A2" s="53" t="s">
        <v>141</v>
      </c>
      <c r="B2" s="16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7" t="s">
        <v>19</v>
      </c>
      <c r="I2" s="17" t="s">
        <v>10</v>
      </c>
      <c r="J2" s="17" t="s">
        <v>27</v>
      </c>
      <c r="K2" s="17" t="s">
        <v>23</v>
      </c>
      <c r="L2" s="17" t="s">
        <v>22</v>
      </c>
      <c r="M2" s="17" t="s">
        <v>24</v>
      </c>
    </row>
    <row r="3" spans="1:18" x14ac:dyDescent="0.25">
      <c r="A3" s="54" t="s">
        <v>6</v>
      </c>
      <c r="B3" s="54">
        <v>1</v>
      </c>
      <c r="C3" s="54">
        <v>8</v>
      </c>
      <c r="D3" s="54">
        <v>8</v>
      </c>
      <c r="E3" s="54">
        <v>17</v>
      </c>
      <c r="F3" s="54">
        <v>365</v>
      </c>
      <c r="G3" s="10">
        <f>+E3*F3</f>
        <v>6205</v>
      </c>
      <c r="H3" s="11">
        <f t="shared" ref="H3:H10" si="0">+G3/2080</f>
        <v>2.9831730769230771</v>
      </c>
      <c r="I3" s="77">
        <f>'one to one'!$O$3</f>
        <v>13.8</v>
      </c>
      <c r="J3" s="12">
        <v>1.2</v>
      </c>
      <c r="K3" s="13">
        <f t="shared" ref="K3:K10" si="1">G3*I3*J3</f>
        <v>102754.8</v>
      </c>
      <c r="L3" s="14">
        <f>1/3</f>
        <v>0.33333333333333331</v>
      </c>
      <c r="M3" s="15">
        <f t="shared" ref="M3:M15" si="2">L3*K3</f>
        <v>34251.599999999999</v>
      </c>
      <c r="P3" t="s">
        <v>210</v>
      </c>
      <c r="Q3">
        <v>1.4705882352941178E-2</v>
      </c>
      <c r="R3" t="s">
        <v>211</v>
      </c>
    </row>
    <row r="4" spans="1:18" x14ac:dyDescent="0.25">
      <c r="A4" s="54" t="s">
        <v>16</v>
      </c>
      <c r="B4" s="54"/>
      <c r="C4" s="54">
        <v>8</v>
      </c>
      <c r="D4" s="54"/>
      <c r="E4" s="54">
        <v>8</v>
      </c>
      <c r="F4" s="54">
        <v>365</v>
      </c>
      <c r="G4" s="10">
        <f>+E4*F4</f>
        <v>2920</v>
      </c>
      <c r="H4" s="11">
        <f t="shared" si="0"/>
        <v>1.4038461538461537</v>
      </c>
      <c r="I4" s="77">
        <f>'one to one'!$O$3</f>
        <v>13.8</v>
      </c>
      <c r="J4" s="12">
        <v>1.2</v>
      </c>
      <c r="K4" s="13">
        <f t="shared" si="1"/>
        <v>48355.199999999997</v>
      </c>
      <c r="L4" s="14">
        <f>1/3</f>
        <v>0.33333333333333331</v>
      </c>
      <c r="M4" s="15">
        <f t="shared" si="2"/>
        <v>16118.399999999998</v>
      </c>
      <c r="O4" t="s">
        <v>11</v>
      </c>
      <c r="P4">
        <v>22.85</v>
      </c>
      <c r="Q4">
        <v>0.33602941176470597</v>
      </c>
      <c r="R4" s="60">
        <v>23.186029411764707</v>
      </c>
    </row>
    <row r="5" spans="1:18" x14ac:dyDescent="0.25">
      <c r="A5" s="54" t="s">
        <v>25</v>
      </c>
      <c r="B5" s="54">
        <v>8</v>
      </c>
      <c r="C5" s="54"/>
      <c r="D5" s="54"/>
      <c r="E5" s="54">
        <v>8</v>
      </c>
      <c r="F5" s="54">
        <v>116</v>
      </c>
      <c r="G5" s="10">
        <f>+E5*F5</f>
        <v>928</v>
      </c>
      <c r="H5" s="11">
        <f t="shared" si="0"/>
        <v>0.44615384615384618</v>
      </c>
      <c r="I5" s="77">
        <f>'one to one'!$O$3</f>
        <v>13.8</v>
      </c>
      <c r="J5" s="12">
        <v>1.2</v>
      </c>
      <c r="K5" s="13">
        <f t="shared" si="1"/>
        <v>15367.68</v>
      </c>
      <c r="L5" s="14">
        <v>0.33300000000000002</v>
      </c>
      <c r="M5" s="15">
        <f t="shared" si="2"/>
        <v>5117.4374400000006</v>
      </c>
      <c r="O5" t="s">
        <v>12</v>
      </c>
      <c r="P5">
        <v>36.61</v>
      </c>
      <c r="Q5">
        <v>0.53838235294117653</v>
      </c>
      <c r="R5" s="60">
        <v>37.148382352941177</v>
      </c>
    </row>
    <row r="6" spans="1:18" x14ac:dyDescent="0.25">
      <c r="A6" s="92" t="s">
        <v>29</v>
      </c>
      <c r="B6" s="92">
        <v>8</v>
      </c>
      <c r="C6" s="92"/>
      <c r="D6" s="92"/>
      <c r="E6" s="92">
        <v>8</v>
      </c>
      <c r="F6" s="92">
        <v>116</v>
      </c>
      <c r="G6" s="10">
        <f>+E6*F6</f>
        <v>928</v>
      </c>
      <c r="H6" s="11">
        <f t="shared" ref="H6" si="3">+G6/2080</f>
        <v>0.44615384615384618</v>
      </c>
      <c r="I6" s="77">
        <f>'one to one'!$O$3</f>
        <v>13.8</v>
      </c>
      <c r="J6" s="12">
        <v>1.2</v>
      </c>
      <c r="K6" s="13">
        <f t="shared" ref="K6" si="4">G6*I6*J6</f>
        <v>15367.68</v>
      </c>
      <c r="L6" s="14">
        <v>0.33300000000000002</v>
      </c>
      <c r="M6" s="15">
        <f t="shared" ref="M6" si="5">L6*K6</f>
        <v>5117.4374400000006</v>
      </c>
      <c r="O6" t="s">
        <v>13</v>
      </c>
      <c r="P6">
        <v>31.38</v>
      </c>
      <c r="Q6">
        <v>0.46147058823529413</v>
      </c>
      <c r="R6" s="60">
        <v>31.841470588235293</v>
      </c>
    </row>
    <row r="7" spans="1:18" x14ac:dyDescent="0.25">
      <c r="A7" s="54" t="s">
        <v>11</v>
      </c>
      <c r="B7" s="54">
        <v>4</v>
      </c>
      <c r="C7" s="54"/>
      <c r="D7" s="54"/>
      <c r="E7" s="54">
        <v>4</v>
      </c>
      <c r="F7" s="54">
        <v>365</v>
      </c>
      <c r="G7" s="10">
        <f>+E7*F7</f>
        <v>1460</v>
      </c>
      <c r="H7" s="11">
        <f t="shared" si="0"/>
        <v>0.70192307692307687</v>
      </c>
      <c r="I7" s="12">
        <v>23.19</v>
      </c>
      <c r="J7" s="12">
        <v>1.2</v>
      </c>
      <c r="K7" s="13">
        <f t="shared" si="1"/>
        <v>40628.879999999997</v>
      </c>
      <c r="L7" s="14">
        <f>1/3</f>
        <v>0.33333333333333331</v>
      </c>
      <c r="M7" s="15">
        <f t="shared" si="2"/>
        <v>13542.96</v>
      </c>
      <c r="O7" t="s">
        <v>14</v>
      </c>
      <c r="P7">
        <v>23.53</v>
      </c>
      <c r="Q7">
        <v>0.34602941176470592</v>
      </c>
      <c r="R7" s="60">
        <v>23.876029411764708</v>
      </c>
    </row>
    <row r="8" spans="1:18" x14ac:dyDescent="0.25">
      <c r="A8" s="54" t="s">
        <v>12</v>
      </c>
      <c r="B8" s="54">
        <v>8</v>
      </c>
      <c r="C8" s="54"/>
      <c r="D8" s="54"/>
      <c r="E8" s="54"/>
      <c r="F8" s="54"/>
      <c r="G8" s="10">
        <v>2080</v>
      </c>
      <c r="H8" s="11">
        <f t="shared" si="0"/>
        <v>1</v>
      </c>
      <c r="I8" s="12">
        <v>37.15</v>
      </c>
      <c r="J8" s="12">
        <v>1.2</v>
      </c>
      <c r="K8" s="13">
        <f t="shared" si="1"/>
        <v>92726.399999999994</v>
      </c>
      <c r="L8" s="14">
        <f>1/12</f>
        <v>8.3333333333333329E-2</v>
      </c>
      <c r="M8" s="15">
        <f t="shared" si="2"/>
        <v>7727.1999999999989</v>
      </c>
    </row>
    <row r="9" spans="1:18" x14ac:dyDescent="0.25">
      <c r="A9" s="54" t="s">
        <v>13</v>
      </c>
      <c r="B9" s="54">
        <v>8</v>
      </c>
      <c r="C9" s="54"/>
      <c r="D9" s="54"/>
      <c r="E9" s="54"/>
      <c r="F9" s="54"/>
      <c r="G9" s="10">
        <v>2080</v>
      </c>
      <c r="H9" s="11">
        <f t="shared" si="0"/>
        <v>1</v>
      </c>
      <c r="I9" s="77">
        <v>31.84</v>
      </c>
      <c r="J9" s="12">
        <v>1.2</v>
      </c>
      <c r="K9" s="13">
        <f t="shared" si="1"/>
        <v>79472.639999999999</v>
      </c>
      <c r="L9" s="14">
        <f>1/12</f>
        <v>8.3333333333333329E-2</v>
      </c>
      <c r="M9" s="15">
        <f t="shared" si="2"/>
        <v>6622.7199999999993</v>
      </c>
    </row>
    <row r="10" spans="1:18" x14ac:dyDescent="0.25">
      <c r="A10" s="54" t="s">
        <v>14</v>
      </c>
      <c r="B10" s="54">
        <v>8</v>
      </c>
      <c r="C10" s="54"/>
      <c r="D10" s="54"/>
      <c r="E10" s="54"/>
      <c r="F10" s="54"/>
      <c r="G10" s="10">
        <v>2080</v>
      </c>
      <c r="H10" s="11">
        <f t="shared" si="0"/>
        <v>1</v>
      </c>
      <c r="I10" s="77">
        <v>23.88</v>
      </c>
      <c r="J10" s="12">
        <v>1.2</v>
      </c>
      <c r="K10" s="13">
        <f t="shared" si="1"/>
        <v>59604.479999999996</v>
      </c>
      <c r="L10" s="14">
        <f>1/12</f>
        <v>8.3333333333333329E-2</v>
      </c>
      <c r="M10" s="15">
        <f t="shared" si="2"/>
        <v>4967.0399999999991</v>
      </c>
    </row>
    <row r="11" spans="1:18" x14ac:dyDescent="0.25">
      <c r="A11" s="54" t="s">
        <v>28</v>
      </c>
      <c r="B11" s="54">
        <v>124</v>
      </c>
      <c r="C11" s="54"/>
      <c r="D11" s="54"/>
      <c r="E11" s="54"/>
      <c r="F11" s="54">
        <f>SUM(B11:D11)</f>
        <v>124</v>
      </c>
      <c r="G11" s="10">
        <f>H3*F11</f>
        <v>369.91346153846155</v>
      </c>
      <c r="H11" s="12"/>
      <c r="I11" s="77">
        <f>'one to one'!$O$3</f>
        <v>13.8</v>
      </c>
      <c r="J11" s="12">
        <v>1.1200000000000001</v>
      </c>
      <c r="K11" s="13">
        <f>G11*I11*J11*H3</f>
        <v>17055.941429733732</v>
      </c>
      <c r="L11" s="14">
        <f t="shared" ref="L11:L15" si="6">1/3</f>
        <v>0.33333333333333331</v>
      </c>
      <c r="M11" s="15">
        <f t="shared" si="2"/>
        <v>5685.3138099112439</v>
      </c>
    </row>
    <row r="12" spans="1:18" x14ac:dyDescent="0.25">
      <c r="A12" s="54" t="s">
        <v>67</v>
      </c>
      <c r="B12" s="54">
        <v>124</v>
      </c>
      <c r="C12" s="54"/>
      <c r="D12" s="54"/>
      <c r="E12" s="54"/>
      <c r="F12" s="54">
        <f>SUM(B12:D12)</f>
        <v>124</v>
      </c>
      <c r="G12" s="10">
        <f>H4*F12</f>
        <v>174.07692307692307</v>
      </c>
      <c r="H12" s="12"/>
      <c r="I12" s="77">
        <f>'one to one'!$O$3</f>
        <v>13.8</v>
      </c>
      <c r="J12" s="12">
        <v>1.1200000000000001</v>
      </c>
      <c r="K12" s="13">
        <f>G12*I12*J12*H4</f>
        <v>3777.0942958579876</v>
      </c>
      <c r="L12" s="14">
        <f t="shared" si="6"/>
        <v>0.33333333333333331</v>
      </c>
      <c r="M12" s="15">
        <f t="shared" si="2"/>
        <v>1259.0314319526624</v>
      </c>
    </row>
    <row r="13" spans="1:18" x14ac:dyDescent="0.25">
      <c r="A13" s="54" t="s">
        <v>129</v>
      </c>
      <c r="B13" s="54">
        <v>124</v>
      </c>
      <c r="C13" s="54"/>
      <c r="D13" s="54"/>
      <c r="E13" s="54"/>
      <c r="F13" s="54">
        <v>124</v>
      </c>
      <c r="G13" s="10">
        <f>H5*F13</f>
        <v>55.323076923076925</v>
      </c>
      <c r="H13" s="12"/>
      <c r="I13" s="77">
        <f>'one to one'!$O$3</f>
        <v>13.8</v>
      </c>
      <c r="J13" s="12">
        <v>1.1200000000000001</v>
      </c>
      <c r="K13" s="13">
        <f>G13*I13*J13*H5</f>
        <v>381.49432047337291</v>
      </c>
      <c r="L13" s="14">
        <f t="shared" si="6"/>
        <v>0.33333333333333331</v>
      </c>
      <c r="M13" s="15">
        <f t="shared" si="2"/>
        <v>127.16477349112429</v>
      </c>
    </row>
    <row r="14" spans="1:18" x14ac:dyDescent="0.25">
      <c r="A14" s="92" t="s">
        <v>185</v>
      </c>
      <c r="B14" s="92">
        <v>124</v>
      </c>
      <c r="C14" s="92"/>
      <c r="D14" s="92"/>
      <c r="E14" s="92"/>
      <c r="F14" s="92">
        <v>124</v>
      </c>
      <c r="G14" s="10">
        <f>H6*F14</f>
        <v>55.323076923076925</v>
      </c>
      <c r="H14" s="12"/>
      <c r="I14" s="77">
        <f>'one to one'!$O$3</f>
        <v>13.8</v>
      </c>
      <c r="J14" s="12">
        <v>1.1200000000000001</v>
      </c>
      <c r="K14" s="13">
        <f>G14*I14*J14*H6</f>
        <v>381.49432047337291</v>
      </c>
      <c r="L14" s="14">
        <f t="shared" si="6"/>
        <v>0.33333333333333331</v>
      </c>
      <c r="M14" s="15">
        <f t="shared" ref="M14" si="7">L14*K14</f>
        <v>127.16477349112429</v>
      </c>
    </row>
    <row r="15" spans="1:18" x14ac:dyDescent="0.25">
      <c r="A15" s="54" t="s">
        <v>18</v>
      </c>
      <c r="B15" s="54">
        <v>124</v>
      </c>
      <c r="C15" s="54"/>
      <c r="D15" s="54"/>
      <c r="E15" s="54"/>
      <c r="F15" s="54">
        <f>SUM(B15:D15)</f>
        <v>124</v>
      </c>
      <c r="G15" s="10">
        <f t="shared" ref="G15" si="8">H7*F15</f>
        <v>87.038461538461533</v>
      </c>
      <c r="H15" s="12"/>
      <c r="I15" s="12">
        <v>23.19</v>
      </c>
      <c r="J15" s="12">
        <v>1.1200000000000001</v>
      </c>
      <c r="K15" s="13">
        <f>G15*I15*J15*H7</f>
        <v>1586.7901579881659</v>
      </c>
      <c r="L15" s="14">
        <f t="shared" si="6"/>
        <v>0.33333333333333331</v>
      </c>
      <c r="M15" s="15">
        <f t="shared" si="2"/>
        <v>528.93005266272189</v>
      </c>
    </row>
    <row r="16" spans="1:18" x14ac:dyDescent="0.25">
      <c r="L16" s="1" t="s">
        <v>20</v>
      </c>
      <c r="M16" s="2">
        <f>SUM(M3:M15)</f>
        <v>101192.39972150887</v>
      </c>
    </row>
    <row r="17" spans="1:14" x14ac:dyDescent="0.25">
      <c r="L17" s="22" t="s">
        <v>21</v>
      </c>
      <c r="M17" s="23">
        <f>M16/347</f>
        <v>291.62074847697085</v>
      </c>
      <c r="N17" s="24"/>
    </row>
    <row r="18" spans="1:14" x14ac:dyDescent="0.25">
      <c r="I18" s="1"/>
      <c r="J18" s="1"/>
    </row>
    <row r="19" spans="1:14" x14ac:dyDescent="0.2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5"/>
      <c r="N19" s="21"/>
    </row>
    <row r="20" spans="1:14" ht="45" x14ac:dyDescent="0.25">
      <c r="A20" s="54" t="s">
        <v>143</v>
      </c>
      <c r="B20" s="16" t="s">
        <v>3</v>
      </c>
      <c r="C20" s="17" t="s">
        <v>4</v>
      </c>
      <c r="D20" s="17" t="s">
        <v>5</v>
      </c>
      <c r="E20" s="17" t="s">
        <v>7</v>
      </c>
      <c r="F20" s="17" t="s">
        <v>8</v>
      </c>
      <c r="G20" s="17" t="s">
        <v>9</v>
      </c>
      <c r="H20" s="17" t="s">
        <v>19</v>
      </c>
      <c r="I20" s="17" t="s">
        <v>10</v>
      </c>
      <c r="J20" s="17" t="s">
        <v>27</v>
      </c>
      <c r="K20" s="17" t="s">
        <v>23</v>
      </c>
      <c r="L20" s="17" t="s">
        <v>22</v>
      </c>
      <c r="M20" s="17" t="s">
        <v>24</v>
      </c>
      <c r="N20" s="7"/>
    </row>
    <row r="21" spans="1:14" x14ac:dyDescent="0.25">
      <c r="A21" s="54" t="s">
        <v>6</v>
      </c>
      <c r="B21" s="54">
        <v>4</v>
      </c>
      <c r="C21" s="54">
        <v>8</v>
      </c>
      <c r="D21" s="54">
        <v>8</v>
      </c>
      <c r="E21" s="54">
        <v>20</v>
      </c>
      <c r="F21" s="54">
        <v>365</v>
      </c>
      <c r="G21" s="10">
        <f>+E21*F21</f>
        <v>7300</v>
      </c>
      <c r="H21" s="11">
        <f t="shared" ref="H21:H28" si="9">+G21/2080</f>
        <v>3.5096153846153846</v>
      </c>
      <c r="I21" s="77">
        <f>'one to one'!$O$3</f>
        <v>13.8</v>
      </c>
      <c r="J21" s="12">
        <v>1.2</v>
      </c>
      <c r="K21" s="13">
        <f t="shared" ref="K21:K28" si="10">G21*I21*J21</f>
        <v>120888</v>
      </c>
      <c r="L21" s="14">
        <f>1/3</f>
        <v>0.33333333333333331</v>
      </c>
      <c r="M21" s="15">
        <f t="shared" ref="M21:M33" si="11">L21*K21</f>
        <v>40296</v>
      </c>
      <c r="N21" s="7"/>
    </row>
    <row r="22" spans="1:14" x14ac:dyDescent="0.25">
      <c r="A22" s="54" t="s">
        <v>16</v>
      </c>
      <c r="B22" s="54"/>
      <c r="C22" s="54">
        <v>8</v>
      </c>
      <c r="D22" s="54">
        <v>8</v>
      </c>
      <c r="E22" s="54">
        <v>16</v>
      </c>
      <c r="F22" s="54">
        <v>365</v>
      </c>
      <c r="G22" s="10">
        <f>+E22*F22</f>
        <v>5840</v>
      </c>
      <c r="H22" s="11">
        <f t="shared" si="9"/>
        <v>2.8076923076923075</v>
      </c>
      <c r="I22" s="77">
        <f>'one to one'!$O$3</f>
        <v>13.8</v>
      </c>
      <c r="J22" s="12">
        <v>1.2</v>
      </c>
      <c r="K22" s="13">
        <f t="shared" si="10"/>
        <v>96710.399999999994</v>
      </c>
      <c r="L22" s="14">
        <f>1/3</f>
        <v>0.33333333333333331</v>
      </c>
      <c r="M22" s="15">
        <f t="shared" si="11"/>
        <v>32236.799999999996</v>
      </c>
      <c r="N22" s="7"/>
    </row>
    <row r="23" spans="1:14" x14ac:dyDescent="0.25">
      <c r="A23" s="54" t="s">
        <v>25</v>
      </c>
      <c r="B23" s="54">
        <v>8</v>
      </c>
      <c r="C23" s="54"/>
      <c r="D23" s="54"/>
      <c r="E23" s="54">
        <v>8</v>
      </c>
      <c r="F23" s="54">
        <v>116</v>
      </c>
      <c r="G23" s="10">
        <f>+E23*F23</f>
        <v>928</v>
      </c>
      <c r="H23" s="11">
        <f t="shared" si="9"/>
        <v>0.44615384615384618</v>
      </c>
      <c r="I23" s="77">
        <f>'one to one'!$O$3</f>
        <v>13.8</v>
      </c>
      <c r="J23" s="12">
        <v>1.2</v>
      </c>
      <c r="K23" s="13">
        <f t="shared" si="10"/>
        <v>15367.68</v>
      </c>
      <c r="L23" s="14">
        <v>0.33300000000000002</v>
      </c>
      <c r="M23" s="15">
        <f t="shared" si="11"/>
        <v>5117.4374400000006</v>
      </c>
      <c r="N23" s="7"/>
    </row>
    <row r="24" spans="1:14" x14ac:dyDescent="0.25">
      <c r="A24" s="92" t="s">
        <v>29</v>
      </c>
      <c r="B24" s="92">
        <v>8</v>
      </c>
      <c r="C24" s="92"/>
      <c r="D24" s="92"/>
      <c r="E24" s="92">
        <v>8</v>
      </c>
      <c r="F24" s="92">
        <v>116</v>
      </c>
      <c r="G24" s="10">
        <f>+E24*F24</f>
        <v>928</v>
      </c>
      <c r="H24" s="11">
        <f t="shared" ref="H24" si="12">+G24/2080</f>
        <v>0.44615384615384618</v>
      </c>
      <c r="I24" s="77">
        <f>'one to one'!$O$3</f>
        <v>13.8</v>
      </c>
      <c r="J24" s="12">
        <v>1.2</v>
      </c>
      <c r="K24" s="13">
        <f t="shared" ref="K24" si="13">G24*I24*J24</f>
        <v>15367.68</v>
      </c>
      <c r="L24" s="14">
        <v>0.33300000000000002</v>
      </c>
      <c r="M24" s="15">
        <f t="shared" ref="M24" si="14">L24*K24</f>
        <v>5117.4374400000006</v>
      </c>
      <c r="N24" s="7"/>
    </row>
    <row r="25" spans="1:14" x14ac:dyDescent="0.25">
      <c r="A25" s="54" t="s">
        <v>11</v>
      </c>
      <c r="B25" s="54">
        <v>4</v>
      </c>
      <c r="C25" s="54"/>
      <c r="D25" s="54"/>
      <c r="E25" s="54">
        <v>4</v>
      </c>
      <c r="F25" s="54">
        <v>365</v>
      </c>
      <c r="G25" s="10">
        <f>+E25*F25</f>
        <v>1460</v>
      </c>
      <c r="H25" s="11">
        <f t="shared" si="9"/>
        <v>0.70192307692307687</v>
      </c>
      <c r="I25" s="12">
        <v>23.19</v>
      </c>
      <c r="J25" s="12">
        <v>1.2</v>
      </c>
      <c r="K25" s="13">
        <f t="shared" si="10"/>
        <v>40628.879999999997</v>
      </c>
      <c r="L25" s="14">
        <f>1/3</f>
        <v>0.33333333333333331</v>
      </c>
      <c r="M25" s="15">
        <f t="shared" si="11"/>
        <v>13542.96</v>
      </c>
      <c r="N25" s="7"/>
    </row>
    <row r="26" spans="1:14" x14ac:dyDescent="0.25">
      <c r="A26" s="54" t="s">
        <v>12</v>
      </c>
      <c r="B26" s="54">
        <v>8</v>
      </c>
      <c r="C26" s="54"/>
      <c r="D26" s="54"/>
      <c r="E26" s="54"/>
      <c r="F26" s="54"/>
      <c r="G26" s="10">
        <v>2080</v>
      </c>
      <c r="H26" s="11">
        <f t="shared" si="9"/>
        <v>1</v>
      </c>
      <c r="I26" s="12">
        <v>37.15</v>
      </c>
      <c r="J26" s="12">
        <v>1.2</v>
      </c>
      <c r="K26" s="13">
        <f t="shared" si="10"/>
        <v>92726.399999999994</v>
      </c>
      <c r="L26" s="14">
        <f>1/12</f>
        <v>8.3333333333333329E-2</v>
      </c>
      <c r="M26" s="15">
        <f t="shared" si="11"/>
        <v>7727.1999999999989</v>
      </c>
      <c r="N26" s="7"/>
    </row>
    <row r="27" spans="1:14" x14ac:dyDescent="0.25">
      <c r="A27" s="54" t="s">
        <v>13</v>
      </c>
      <c r="B27" s="54">
        <v>8</v>
      </c>
      <c r="C27" s="54"/>
      <c r="D27" s="54"/>
      <c r="E27" s="54"/>
      <c r="F27" s="54"/>
      <c r="G27" s="10">
        <v>2080</v>
      </c>
      <c r="H27" s="11">
        <f t="shared" si="9"/>
        <v>1</v>
      </c>
      <c r="I27" s="77">
        <v>31.84</v>
      </c>
      <c r="J27" s="12">
        <v>1.2</v>
      </c>
      <c r="K27" s="13">
        <f t="shared" si="10"/>
        <v>79472.639999999999</v>
      </c>
      <c r="L27" s="14">
        <f>1/12</f>
        <v>8.3333333333333329E-2</v>
      </c>
      <c r="M27" s="15">
        <f t="shared" si="11"/>
        <v>6622.7199999999993</v>
      </c>
      <c r="N27" s="2"/>
    </row>
    <row r="28" spans="1:14" x14ac:dyDescent="0.25">
      <c r="A28" s="54" t="s">
        <v>14</v>
      </c>
      <c r="B28" s="54">
        <v>8</v>
      </c>
      <c r="C28" s="54"/>
      <c r="D28" s="54"/>
      <c r="E28" s="54"/>
      <c r="F28" s="54"/>
      <c r="G28" s="10">
        <v>2080</v>
      </c>
      <c r="H28" s="11">
        <f t="shared" si="9"/>
        <v>1</v>
      </c>
      <c r="I28" s="77">
        <v>23.88</v>
      </c>
      <c r="J28" s="12">
        <v>1.2</v>
      </c>
      <c r="K28" s="13">
        <f t="shared" si="10"/>
        <v>59604.479999999996</v>
      </c>
      <c r="L28" s="14">
        <f>1/12</f>
        <v>8.3333333333333329E-2</v>
      </c>
      <c r="M28" s="15">
        <f t="shared" si="11"/>
        <v>4967.0399999999991</v>
      </c>
      <c r="N28" s="7"/>
    </row>
    <row r="29" spans="1:14" x14ac:dyDescent="0.25">
      <c r="A29" s="54" t="s">
        <v>28</v>
      </c>
      <c r="B29" s="54">
        <v>124</v>
      </c>
      <c r="C29" s="54"/>
      <c r="D29" s="54"/>
      <c r="E29" s="54"/>
      <c r="F29" s="54">
        <f>SUM(B29:D29)</f>
        <v>124</v>
      </c>
      <c r="G29" s="10">
        <f>H21*F29</f>
        <v>435.19230769230768</v>
      </c>
      <c r="H29" s="12"/>
      <c r="I29" s="77">
        <f>'one to one'!$O$3</f>
        <v>13.8</v>
      </c>
      <c r="J29" s="12">
        <v>1.1200000000000001</v>
      </c>
      <c r="K29" s="13">
        <f>G29*I29*J29*H21</f>
        <v>23606.83934911243</v>
      </c>
      <c r="L29" s="14">
        <f t="shared" ref="L29:L33" si="15">1/3</f>
        <v>0.33333333333333331</v>
      </c>
      <c r="M29" s="15">
        <f t="shared" si="11"/>
        <v>7868.9464497041427</v>
      </c>
      <c r="N29" s="7"/>
    </row>
    <row r="30" spans="1:14" x14ac:dyDescent="0.25">
      <c r="A30" s="54" t="s">
        <v>67</v>
      </c>
      <c r="B30" s="54">
        <v>124</v>
      </c>
      <c r="C30" s="54"/>
      <c r="D30" s="54"/>
      <c r="E30" s="54"/>
      <c r="F30" s="54">
        <f>SUM(B30:D30)</f>
        <v>124</v>
      </c>
      <c r="G30" s="10">
        <f>H22*F30</f>
        <v>348.15384615384613</v>
      </c>
      <c r="H30" s="12"/>
      <c r="I30" s="77">
        <f>'one to one'!$O$3</f>
        <v>13.8</v>
      </c>
      <c r="J30" s="12">
        <v>1.1200000000000001</v>
      </c>
      <c r="K30" s="13">
        <f>G30*I30*J30*H22</f>
        <v>15108.37718343195</v>
      </c>
      <c r="L30" s="14">
        <f t="shared" si="15"/>
        <v>0.33333333333333331</v>
      </c>
      <c r="M30" s="15">
        <f t="shared" si="11"/>
        <v>5036.1257278106496</v>
      </c>
      <c r="N30" s="3"/>
    </row>
    <row r="31" spans="1:14" x14ac:dyDescent="0.25">
      <c r="A31" s="54" t="s">
        <v>130</v>
      </c>
      <c r="B31" s="54">
        <v>124</v>
      </c>
      <c r="C31" s="54"/>
      <c r="D31" s="54"/>
      <c r="E31" s="54"/>
      <c r="F31" s="54">
        <v>124</v>
      </c>
      <c r="G31" s="10">
        <f>H23*F31</f>
        <v>55.323076923076925</v>
      </c>
      <c r="H31" s="12"/>
      <c r="I31" s="77">
        <f>'one to one'!$O$3</f>
        <v>13.8</v>
      </c>
      <c r="J31" s="12">
        <v>1.1200000000000001</v>
      </c>
      <c r="K31" s="13">
        <f>G31*I31*J31*H23</f>
        <v>381.49432047337291</v>
      </c>
      <c r="L31" s="14">
        <v>0.33300000000000002</v>
      </c>
      <c r="M31" s="15">
        <f t="shared" si="11"/>
        <v>127.03760871763319</v>
      </c>
      <c r="N31" s="3"/>
    </row>
    <row r="32" spans="1:14" x14ac:dyDescent="0.25">
      <c r="A32" s="92" t="s">
        <v>186</v>
      </c>
      <c r="B32" s="92">
        <v>124</v>
      </c>
      <c r="C32" s="92"/>
      <c r="D32" s="92"/>
      <c r="E32" s="92"/>
      <c r="F32" s="92">
        <v>124</v>
      </c>
      <c r="G32" s="10">
        <f>H24*F32</f>
        <v>55.323076923076925</v>
      </c>
      <c r="H32" s="12"/>
      <c r="I32" s="77">
        <f>'one to one'!$O$3</f>
        <v>13.8</v>
      </c>
      <c r="J32" s="12">
        <v>1.1200000000000001</v>
      </c>
      <c r="K32" s="13">
        <f>G32*I32*J32*H24</f>
        <v>381.49432047337291</v>
      </c>
      <c r="L32" s="14">
        <v>0.33300000000000002</v>
      </c>
      <c r="M32" s="15">
        <f t="shared" ref="M32" si="16">L32*K32</f>
        <v>127.03760871763319</v>
      </c>
      <c r="N32" s="3"/>
    </row>
    <row r="33" spans="1:14" x14ac:dyDescent="0.25">
      <c r="A33" s="54" t="s">
        <v>18</v>
      </c>
      <c r="B33" s="54">
        <v>124</v>
      </c>
      <c r="C33" s="54"/>
      <c r="D33" s="54"/>
      <c r="E33" s="54"/>
      <c r="F33" s="54">
        <f>SUM(B33:D33)</f>
        <v>124</v>
      </c>
      <c r="G33" s="10">
        <f t="shared" ref="G33" si="17">H25*F33</f>
        <v>87.038461538461533</v>
      </c>
      <c r="H33" s="12"/>
      <c r="I33" s="12">
        <v>23.19</v>
      </c>
      <c r="J33" s="12">
        <v>1.1200000000000001</v>
      </c>
      <c r="K33" s="13">
        <f>G33*I33*J33*H25</f>
        <v>1586.7901579881659</v>
      </c>
      <c r="L33" s="14">
        <f t="shared" si="15"/>
        <v>0.33333333333333331</v>
      </c>
      <c r="M33" s="15">
        <f t="shared" si="11"/>
        <v>528.93005266272189</v>
      </c>
      <c r="N33" s="3"/>
    </row>
    <row r="34" spans="1:14" x14ac:dyDescent="0.25">
      <c r="L34" s="1" t="s">
        <v>20</v>
      </c>
      <c r="M34" s="2">
        <f>SUM(M21:M33)</f>
        <v>129315.67232761273</v>
      </c>
      <c r="N34" s="3"/>
    </row>
    <row r="35" spans="1:14" x14ac:dyDescent="0.25">
      <c r="L35" s="22" t="s">
        <v>21</v>
      </c>
      <c r="M35" s="23">
        <f>M34/347</f>
        <v>372.66764359542572</v>
      </c>
      <c r="N35" s="3"/>
    </row>
    <row r="36" spans="1:14" x14ac:dyDescent="0.25">
      <c r="A36" s="38"/>
      <c r="B36" s="3"/>
      <c r="C36" s="3"/>
      <c r="D36" s="3"/>
      <c r="E36" s="3"/>
      <c r="F36" s="3"/>
      <c r="G36" s="8"/>
      <c r="H36" s="8"/>
      <c r="I36" s="12"/>
      <c r="J36" s="12"/>
      <c r="K36" s="13"/>
      <c r="L36" s="54"/>
      <c r="M36" s="15"/>
      <c r="N36" s="3"/>
    </row>
    <row r="37" spans="1:14" x14ac:dyDescent="0.25">
      <c r="A37" s="18"/>
      <c r="B37" s="3"/>
      <c r="C37" s="8"/>
      <c r="D37" s="8"/>
      <c r="E37" s="8"/>
      <c r="F37" s="8"/>
      <c r="G37" s="8"/>
      <c r="H37" s="8"/>
      <c r="I37" s="12"/>
      <c r="J37" s="12"/>
      <c r="K37" s="13"/>
      <c r="L37" s="54"/>
      <c r="M37" s="15"/>
      <c r="N37" s="3"/>
    </row>
    <row r="39" spans="1:14" ht="45" x14ac:dyDescent="0.25">
      <c r="A39" s="65" t="s">
        <v>153</v>
      </c>
      <c r="B39" s="16" t="s">
        <v>3</v>
      </c>
      <c r="C39" s="17" t="s">
        <v>4</v>
      </c>
      <c r="D39" s="17" t="s">
        <v>5</v>
      </c>
      <c r="E39" s="17" t="s">
        <v>7</v>
      </c>
      <c r="F39" s="17" t="s">
        <v>8</v>
      </c>
      <c r="G39" s="17" t="s">
        <v>9</v>
      </c>
      <c r="H39" s="17" t="s">
        <v>19</v>
      </c>
      <c r="I39" s="17" t="s">
        <v>10</v>
      </c>
      <c r="J39" s="17" t="s">
        <v>27</v>
      </c>
      <c r="K39" s="17" t="s">
        <v>23</v>
      </c>
      <c r="L39" s="17" t="s">
        <v>22</v>
      </c>
      <c r="M39" s="17" t="s">
        <v>24</v>
      </c>
    </row>
    <row r="40" spans="1:14" x14ac:dyDescent="0.25">
      <c r="A40" s="65" t="s">
        <v>6</v>
      </c>
      <c r="B40" s="65"/>
      <c r="C40" s="65">
        <v>8</v>
      </c>
      <c r="D40" s="65">
        <v>8</v>
      </c>
      <c r="E40" s="65">
        <v>16</v>
      </c>
      <c r="F40" s="65">
        <v>365</v>
      </c>
      <c r="G40" s="10">
        <f>+E40*F40</f>
        <v>5840</v>
      </c>
      <c r="H40" s="11">
        <f t="shared" ref="H40:H46" si="18">+G40/2080</f>
        <v>2.8076923076923075</v>
      </c>
      <c r="I40" s="77">
        <f>'one to one'!$O$3</f>
        <v>13.8</v>
      </c>
      <c r="J40" s="12">
        <v>1.2</v>
      </c>
      <c r="K40" s="13">
        <f t="shared" ref="K40:K46" si="19">G40*I40*J40</f>
        <v>96710.399999999994</v>
      </c>
      <c r="L40" s="14">
        <f>1/3</f>
        <v>0.33333333333333331</v>
      </c>
      <c r="M40" s="15">
        <f t="shared" ref="M40:M50" si="20">L40*K40</f>
        <v>32236.799999999996</v>
      </c>
    </row>
    <row r="41" spans="1:14" x14ac:dyDescent="0.25">
      <c r="A41" s="65" t="s">
        <v>16</v>
      </c>
      <c r="B41" s="65">
        <v>8</v>
      </c>
      <c r="C41" s="65"/>
      <c r="D41" s="65"/>
      <c r="E41" s="65">
        <v>8</v>
      </c>
      <c r="F41" s="65">
        <v>116</v>
      </c>
      <c r="G41" s="10">
        <f>+E41*F41</f>
        <v>928</v>
      </c>
      <c r="H41" s="11">
        <f t="shared" si="18"/>
        <v>0.44615384615384618</v>
      </c>
      <c r="I41" s="77">
        <f>'one to one'!$O$3</f>
        <v>13.8</v>
      </c>
      <c r="J41" s="12">
        <v>1.2</v>
      </c>
      <c r="K41" s="13">
        <f t="shared" si="19"/>
        <v>15367.68</v>
      </c>
      <c r="L41" s="14">
        <f>1/3</f>
        <v>0.33333333333333331</v>
      </c>
      <c r="M41" s="15">
        <f t="shared" si="20"/>
        <v>5122.5599999999995</v>
      </c>
    </row>
    <row r="42" spans="1:14" x14ac:dyDescent="0.25">
      <c r="A42" s="65" t="s">
        <v>155</v>
      </c>
      <c r="B42" s="65">
        <v>4</v>
      </c>
      <c r="C42" s="65">
        <v>8</v>
      </c>
      <c r="D42" s="65">
        <v>8</v>
      </c>
      <c r="E42" s="65">
        <v>20</v>
      </c>
      <c r="F42" s="65">
        <v>365</v>
      </c>
      <c r="G42" s="10">
        <f>+E42*F42</f>
        <v>7300</v>
      </c>
      <c r="H42" s="11">
        <f t="shared" si="18"/>
        <v>3.5096153846153846</v>
      </c>
      <c r="I42" s="12">
        <v>23.19</v>
      </c>
      <c r="J42" s="12">
        <v>1.2</v>
      </c>
      <c r="K42" s="13">
        <f t="shared" si="19"/>
        <v>203144.4</v>
      </c>
      <c r="L42" s="14">
        <v>0.33300000000000002</v>
      </c>
      <c r="M42" s="15">
        <f t="shared" si="20"/>
        <v>67647.085200000001</v>
      </c>
    </row>
    <row r="43" spans="1:14" x14ac:dyDescent="0.25">
      <c r="A43" s="65" t="s">
        <v>31</v>
      </c>
      <c r="B43" s="65">
        <v>4</v>
      </c>
      <c r="C43" s="65"/>
      <c r="D43" s="65"/>
      <c r="E43" s="65">
        <v>4</v>
      </c>
      <c r="F43" s="65">
        <v>116</v>
      </c>
      <c r="G43" s="10">
        <f>+E43*F43</f>
        <v>464</v>
      </c>
      <c r="H43" s="11">
        <f t="shared" si="18"/>
        <v>0.22307692307692309</v>
      </c>
      <c r="I43" s="12">
        <v>23.19</v>
      </c>
      <c r="J43" s="12">
        <v>1.2</v>
      </c>
      <c r="K43" s="13">
        <f t="shared" si="19"/>
        <v>12912.191999999999</v>
      </c>
      <c r="L43" s="14">
        <f>1/3</f>
        <v>0.33333333333333331</v>
      </c>
      <c r="M43" s="15">
        <f t="shared" si="20"/>
        <v>4304.0639999999994</v>
      </c>
    </row>
    <row r="44" spans="1:14" x14ac:dyDescent="0.25">
      <c r="A44" s="65" t="s">
        <v>12</v>
      </c>
      <c r="B44" s="65">
        <v>8</v>
      </c>
      <c r="C44" s="65"/>
      <c r="D44" s="65"/>
      <c r="E44" s="65"/>
      <c r="F44" s="65"/>
      <c r="G44" s="10">
        <v>2080</v>
      </c>
      <c r="H44" s="11">
        <f t="shared" si="18"/>
        <v>1</v>
      </c>
      <c r="I44" s="12">
        <v>37.15</v>
      </c>
      <c r="J44" s="12">
        <v>1.2</v>
      </c>
      <c r="K44" s="13">
        <f t="shared" si="19"/>
        <v>92726.399999999994</v>
      </c>
      <c r="L44" s="14">
        <f>1/12</f>
        <v>8.3333333333333329E-2</v>
      </c>
      <c r="M44" s="15">
        <f t="shared" si="20"/>
        <v>7727.1999999999989</v>
      </c>
    </row>
    <row r="45" spans="1:14" x14ac:dyDescent="0.25">
      <c r="A45" s="65" t="s">
        <v>13</v>
      </c>
      <c r="B45" s="65">
        <v>8</v>
      </c>
      <c r="C45" s="65"/>
      <c r="D45" s="65"/>
      <c r="E45" s="65"/>
      <c r="F45" s="65"/>
      <c r="G45" s="10">
        <v>2080</v>
      </c>
      <c r="H45" s="11">
        <f t="shared" si="18"/>
        <v>1</v>
      </c>
      <c r="I45" s="77">
        <v>31.84</v>
      </c>
      <c r="J45" s="12">
        <v>1.2</v>
      </c>
      <c r="K45" s="13">
        <f t="shared" si="19"/>
        <v>79472.639999999999</v>
      </c>
      <c r="L45" s="14">
        <f>1/12</f>
        <v>8.3333333333333329E-2</v>
      </c>
      <c r="M45" s="15">
        <f t="shared" si="20"/>
        <v>6622.7199999999993</v>
      </c>
    </row>
    <row r="46" spans="1:14" x14ac:dyDescent="0.25">
      <c r="A46" s="65" t="s">
        <v>14</v>
      </c>
      <c r="B46" s="65">
        <v>8</v>
      </c>
      <c r="C46" s="65"/>
      <c r="D46" s="65"/>
      <c r="E46" s="65"/>
      <c r="F46" s="65"/>
      <c r="G46" s="10">
        <v>2080</v>
      </c>
      <c r="H46" s="11">
        <f t="shared" si="18"/>
        <v>1</v>
      </c>
      <c r="I46" s="77">
        <v>23.88</v>
      </c>
      <c r="J46" s="12">
        <v>1.2</v>
      </c>
      <c r="K46" s="13">
        <f t="shared" si="19"/>
        <v>59604.479999999996</v>
      </c>
      <c r="L46" s="14">
        <f>1/12</f>
        <v>8.3333333333333329E-2</v>
      </c>
      <c r="M46" s="15">
        <f t="shared" si="20"/>
        <v>4967.0399999999991</v>
      </c>
    </row>
    <row r="47" spans="1:14" x14ac:dyDescent="0.25">
      <c r="A47" s="65" t="s">
        <v>28</v>
      </c>
      <c r="B47" s="65">
        <v>124</v>
      </c>
      <c r="C47" s="65"/>
      <c r="D47" s="65"/>
      <c r="E47" s="65"/>
      <c r="F47" s="65">
        <f>SUM(B47:D47)</f>
        <v>124</v>
      </c>
      <c r="G47" s="10">
        <f t="shared" ref="G47:G50" si="21">H40*F47</f>
        <v>348.15384615384613</v>
      </c>
      <c r="H47" s="12"/>
      <c r="I47" s="77">
        <f>'one to one'!$O$3</f>
        <v>13.8</v>
      </c>
      <c r="J47" s="12">
        <v>1.1200000000000001</v>
      </c>
      <c r="K47" s="13">
        <f>G47*I47*J47*H40</f>
        <v>15108.37718343195</v>
      </c>
      <c r="L47" s="14">
        <f t="shared" ref="L47:L50" si="22">1/3</f>
        <v>0.33333333333333331</v>
      </c>
      <c r="M47" s="15">
        <f t="shared" si="20"/>
        <v>5036.1257278106496</v>
      </c>
    </row>
    <row r="48" spans="1:14" x14ac:dyDescent="0.25">
      <c r="A48" s="65" t="s">
        <v>67</v>
      </c>
      <c r="B48" s="65">
        <v>124</v>
      </c>
      <c r="C48" s="65"/>
      <c r="D48" s="65"/>
      <c r="E48" s="65"/>
      <c r="F48" s="65">
        <f>SUM(B48:D48)</f>
        <v>124</v>
      </c>
      <c r="G48" s="10">
        <f t="shared" si="21"/>
        <v>55.323076923076925</v>
      </c>
      <c r="H48" s="12"/>
      <c r="I48" s="77">
        <f>'one to one'!$O$3</f>
        <v>13.8</v>
      </c>
      <c r="J48" s="12">
        <v>1.1200000000000001</v>
      </c>
      <c r="K48" s="13">
        <f>G48*I48*J48*H41</f>
        <v>381.49432047337291</v>
      </c>
      <c r="L48" s="14">
        <f t="shared" si="22"/>
        <v>0.33333333333333331</v>
      </c>
      <c r="M48" s="15">
        <f t="shared" si="20"/>
        <v>127.16477349112429</v>
      </c>
    </row>
    <row r="49" spans="1:13" x14ac:dyDescent="0.25">
      <c r="A49" s="65" t="s">
        <v>156</v>
      </c>
      <c r="B49" s="65">
        <v>124</v>
      </c>
      <c r="C49" s="65"/>
      <c r="D49" s="65"/>
      <c r="E49" s="65"/>
      <c r="F49" s="65">
        <v>124</v>
      </c>
      <c r="G49" s="10">
        <f t="shared" si="21"/>
        <v>435.19230769230768</v>
      </c>
      <c r="H49" s="12"/>
      <c r="I49" s="12">
        <v>23.19</v>
      </c>
      <c r="J49" s="12">
        <v>1.1200000000000001</v>
      </c>
      <c r="K49" s="13">
        <f>G49*I49*J49*H42</f>
        <v>39669.753949704143</v>
      </c>
      <c r="L49" s="14">
        <v>0.33300000000000002</v>
      </c>
      <c r="M49" s="15">
        <f t="shared" si="20"/>
        <v>13210.028065251481</v>
      </c>
    </row>
    <row r="50" spans="1:13" x14ac:dyDescent="0.25">
      <c r="A50" s="65" t="s">
        <v>187</v>
      </c>
      <c r="B50" s="65">
        <v>124</v>
      </c>
      <c r="C50" s="65"/>
      <c r="D50" s="65"/>
      <c r="E50" s="65"/>
      <c r="F50" s="65">
        <f>SUM(B50:D50)</f>
        <v>124</v>
      </c>
      <c r="G50" s="10">
        <f t="shared" si="21"/>
        <v>27.661538461538463</v>
      </c>
      <c r="H50" s="12"/>
      <c r="I50" s="12">
        <v>23.19</v>
      </c>
      <c r="J50" s="12">
        <v>1.1200000000000001</v>
      </c>
      <c r="K50" s="13">
        <f>G50*I50*J50*H43</f>
        <v>160.2690813727811</v>
      </c>
      <c r="L50" s="14">
        <f t="shared" si="22"/>
        <v>0.33333333333333331</v>
      </c>
      <c r="M50" s="15">
        <f t="shared" si="20"/>
        <v>53.423027124260365</v>
      </c>
    </row>
    <row r="51" spans="1:13" x14ac:dyDescent="0.25">
      <c r="L51" s="1" t="s">
        <v>20</v>
      </c>
      <c r="M51" s="2">
        <f>SUM(M40:M50)</f>
        <v>147054.21079367748</v>
      </c>
    </row>
    <row r="52" spans="1:13" x14ac:dyDescent="0.25">
      <c r="L52" s="22" t="s">
        <v>21</v>
      </c>
      <c r="M52" s="23">
        <f>M51/347</f>
        <v>423.78735099042501</v>
      </c>
    </row>
  </sheetData>
  <mergeCells count="1">
    <mergeCell ref="A19:M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opLeftCell="C22" zoomScaleNormal="100" workbookViewId="0">
      <selection activeCell="M29" sqref="M29"/>
    </sheetView>
  </sheetViews>
  <sheetFormatPr defaultColWidth="8.85546875" defaultRowHeight="15" x14ac:dyDescent="0.25"/>
  <cols>
    <col min="1" max="1" width="17.28515625" customWidth="1"/>
    <col min="6" max="6" width="10.85546875" customWidth="1"/>
    <col min="7" max="7" width="9.42578125" bestFit="1" customWidth="1"/>
    <col min="8" max="8" width="9.42578125" customWidth="1"/>
    <col min="11" max="11" width="12.42578125" bestFit="1" customWidth="1"/>
    <col min="12" max="12" width="10.7109375" customWidth="1"/>
    <col min="13" max="13" width="14.7109375" customWidth="1"/>
    <col min="14" max="14" width="12.42578125" bestFit="1" customWidth="1"/>
  </cols>
  <sheetData>
    <row r="1" spans="1:18" x14ac:dyDescent="0.25">
      <c r="A1" t="s">
        <v>188</v>
      </c>
    </row>
    <row r="2" spans="1:18" ht="30" x14ac:dyDescent="0.25">
      <c r="A2" s="54" t="s">
        <v>144</v>
      </c>
      <c r="B2" s="16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7" t="s">
        <v>19</v>
      </c>
      <c r="I2" s="17" t="s">
        <v>10</v>
      </c>
      <c r="J2" s="17" t="s">
        <v>27</v>
      </c>
      <c r="K2" s="17" t="s">
        <v>23</v>
      </c>
      <c r="L2" s="17" t="s">
        <v>22</v>
      </c>
      <c r="M2" s="17" t="s">
        <v>24</v>
      </c>
      <c r="P2" t="s">
        <v>210</v>
      </c>
      <c r="Q2">
        <v>1.4705882352941178E-2</v>
      </c>
      <c r="R2" t="s">
        <v>211</v>
      </c>
    </row>
    <row r="3" spans="1:18" x14ac:dyDescent="0.25">
      <c r="A3" s="54" t="s">
        <v>6</v>
      </c>
      <c r="B3" s="54">
        <v>8</v>
      </c>
      <c r="C3" s="54">
        <v>8</v>
      </c>
      <c r="D3" s="54">
        <v>8</v>
      </c>
      <c r="E3" s="54">
        <v>24</v>
      </c>
      <c r="F3" s="54">
        <v>116</v>
      </c>
      <c r="G3" s="10">
        <f>+E3*F3</f>
        <v>2784</v>
      </c>
      <c r="H3" s="11">
        <f t="shared" ref="H3:H8" si="0">+G3/2080</f>
        <v>1.3384615384615384</v>
      </c>
      <c r="I3" s="77">
        <f>'one to one'!$O$3</f>
        <v>13.8</v>
      </c>
      <c r="J3" s="12">
        <v>1.2</v>
      </c>
      <c r="K3" s="13">
        <f t="shared" ref="K3:K8" si="1">G3*I3*J3</f>
        <v>46103.040000000001</v>
      </c>
      <c r="L3" s="14">
        <v>0.5</v>
      </c>
      <c r="M3" s="15">
        <f t="shared" ref="M3:M11" si="2">L3*K3</f>
        <v>23051.52</v>
      </c>
      <c r="O3" t="s">
        <v>11</v>
      </c>
      <c r="P3">
        <v>22.85</v>
      </c>
      <c r="Q3">
        <v>0.33602941176470597</v>
      </c>
      <c r="R3" s="60">
        <v>23.186029411764707</v>
      </c>
    </row>
    <row r="4" spans="1:18" x14ac:dyDescent="0.25">
      <c r="A4" s="54" t="s">
        <v>16</v>
      </c>
      <c r="B4" s="54">
        <v>2</v>
      </c>
      <c r="C4" s="54">
        <v>8</v>
      </c>
      <c r="D4" s="54">
        <v>8</v>
      </c>
      <c r="E4" s="54">
        <v>18</v>
      </c>
      <c r="F4" s="54">
        <v>249</v>
      </c>
      <c r="G4" s="10">
        <f>+E4*F4</f>
        <v>4482</v>
      </c>
      <c r="H4" s="11">
        <f t="shared" si="0"/>
        <v>2.1548076923076924</v>
      </c>
      <c r="I4" s="77">
        <f>'one to one'!$O$3</f>
        <v>13.8</v>
      </c>
      <c r="J4" s="12">
        <v>1.2</v>
      </c>
      <c r="K4" s="13">
        <f t="shared" si="1"/>
        <v>74221.919999999998</v>
      </c>
      <c r="L4" s="14">
        <v>0.5</v>
      </c>
      <c r="M4" s="15">
        <f t="shared" si="2"/>
        <v>37110.959999999999</v>
      </c>
      <c r="O4" t="s">
        <v>12</v>
      </c>
      <c r="P4">
        <v>36.61</v>
      </c>
      <c r="Q4">
        <v>0.53838235294117653</v>
      </c>
      <c r="R4" s="60">
        <v>37.148382352941177</v>
      </c>
    </row>
    <row r="5" spans="1:18" x14ac:dyDescent="0.25">
      <c r="A5" s="54" t="s">
        <v>11</v>
      </c>
      <c r="B5" s="54">
        <v>2</v>
      </c>
      <c r="C5" s="54"/>
      <c r="D5" s="54"/>
      <c r="E5" s="54">
        <v>2</v>
      </c>
      <c r="F5" s="54">
        <v>365</v>
      </c>
      <c r="G5" s="10">
        <f>+E5*F5</f>
        <v>730</v>
      </c>
      <c r="H5" s="11">
        <f t="shared" si="0"/>
        <v>0.35096153846153844</v>
      </c>
      <c r="I5" s="12">
        <v>23.19</v>
      </c>
      <c r="J5" s="12">
        <v>1.2</v>
      </c>
      <c r="K5" s="13">
        <f t="shared" si="1"/>
        <v>20314.439999999999</v>
      </c>
      <c r="L5" s="14">
        <v>0.5</v>
      </c>
      <c r="M5" s="15">
        <f t="shared" si="2"/>
        <v>10157.219999999999</v>
      </c>
      <c r="O5" t="s">
        <v>13</v>
      </c>
      <c r="P5">
        <v>31.38</v>
      </c>
      <c r="Q5">
        <v>0.46147058823529413</v>
      </c>
      <c r="R5" s="60">
        <v>31.841470588235293</v>
      </c>
    </row>
    <row r="6" spans="1:18" x14ac:dyDescent="0.25">
      <c r="A6" s="54" t="s">
        <v>12</v>
      </c>
      <c r="B6" s="54">
        <v>8</v>
      </c>
      <c r="C6" s="54"/>
      <c r="D6" s="54"/>
      <c r="E6" s="54"/>
      <c r="F6" s="54"/>
      <c r="G6" s="10">
        <v>2080</v>
      </c>
      <c r="H6" s="11">
        <f t="shared" si="0"/>
        <v>1</v>
      </c>
      <c r="I6" s="12">
        <v>37.15</v>
      </c>
      <c r="J6" s="12">
        <v>1.2</v>
      </c>
      <c r="K6" s="13">
        <f t="shared" si="1"/>
        <v>92726.399999999994</v>
      </c>
      <c r="L6" s="14">
        <v>8.3000000000000004E-2</v>
      </c>
      <c r="M6" s="15">
        <f t="shared" si="2"/>
        <v>7696.2911999999997</v>
      </c>
      <c r="O6" t="s">
        <v>14</v>
      </c>
      <c r="P6">
        <v>23.53</v>
      </c>
      <c r="Q6">
        <v>0.34602941176470592</v>
      </c>
      <c r="R6" s="60">
        <v>23.876029411764708</v>
      </c>
    </row>
    <row r="7" spans="1:18" x14ac:dyDescent="0.25">
      <c r="A7" s="54" t="s">
        <v>13</v>
      </c>
      <c r="B7" s="54">
        <v>8</v>
      </c>
      <c r="C7" s="54"/>
      <c r="D7" s="54"/>
      <c r="E7" s="54"/>
      <c r="F7" s="54"/>
      <c r="G7" s="10">
        <v>2080</v>
      </c>
      <c r="H7" s="11">
        <f t="shared" si="0"/>
        <v>1</v>
      </c>
      <c r="I7" s="77">
        <v>31.84</v>
      </c>
      <c r="J7" s="12">
        <v>1.2</v>
      </c>
      <c r="K7" s="13">
        <f t="shared" si="1"/>
        <v>79472.639999999999</v>
      </c>
      <c r="L7" s="14">
        <v>8.3000000000000004E-2</v>
      </c>
      <c r="M7" s="15">
        <f t="shared" si="2"/>
        <v>6596.22912</v>
      </c>
    </row>
    <row r="8" spans="1:18" x14ac:dyDescent="0.25">
      <c r="A8" s="54" t="s">
        <v>14</v>
      </c>
      <c r="B8" s="54">
        <v>8</v>
      </c>
      <c r="C8" s="54"/>
      <c r="D8" s="54"/>
      <c r="E8" s="54"/>
      <c r="F8" s="54"/>
      <c r="G8" s="10">
        <v>2080</v>
      </c>
      <c r="H8" s="11">
        <f t="shared" si="0"/>
        <v>1</v>
      </c>
      <c r="I8" s="77">
        <v>23.88</v>
      </c>
      <c r="J8" s="12">
        <v>1.2</v>
      </c>
      <c r="K8" s="13">
        <f t="shared" si="1"/>
        <v>59604.479999999996</v>
      </c>
      <c r="L8" s="14">
        <v>8.3000000000000004E-2</v>
      </c>
      <c r="M8" s="15">
        <f t="shared" si="2"/>
        <v>4947.17184</v>
      </c>
    </row>
    <row r="9" spans="1:18" x14ac:dyDescent="0.25">
      <c r="A9" s="54" t="s">
        <v>28</v>
      </c>
      <c r="B9" s="54">
        <v>124</v>
      </c>
      <c r="C9" s="54"/>
      <c r="D9" s="54"/>
      <c r="E9" s="54"/>
      <c r="F9" s="54">
        <v>124</v>
      </c>
      <c r="G9" s="10">
        <f>H3*F9</f>
        <v>165.96923076923076</v>
      </c>
      <c r="H9" s="12"/>
      <c r="I9" s="77">
        <f>'one to one'!$O$3</f>
        <v>13.8</v>
      </c>
      <c r="J9" s="12">
        <v>1.1200000000000001</v>
      </c>
      <c r="K9" s="13">
        <f>G9*I9*J9*H3</f>
        <v>3433.448884260355</v>
      </c>
      <c r="L9" s="14">
        <v>0.5</v>
      </c>
      <c r="M9" s="15">
        <f t="shared" si="2"/>
        <v>1716.7244421301775</v>
      </c>
    </row>
    <row r="10" spans="1:18" x14ac:dyDescent="0.25">
      <c r="A10" s="54" t="s">
        <v>67</v>
      </c>
      <c r="B10" s="54">
        <v>124</v>
      </c>
      <c r="C10" s="54"/>
      <c r="D10" s="54"/>
      <c r="E10" s="54"/>
      <c r="F10" s="54">
        <v>124</v>
      </c>
      <c r="G10" s="10">
        <f t="shared" ref="G10:G11" si="3">H4*F10</f>
        <v>267.19615384615383</v>
      </c>
      <c r="H10" s="12"/>
      <c r="I10" s="77">
        <f>'one to one'!$O$3</f>
        <v>13.8</v>
      </c>
      <c r="J10" s="12">
        <v>1.1200000000000001</v>
      </c>
      <c r="K10" s="13">
        <f>G10*I10*J10*H4</f>
        <v>8898.8898003550312</v>
      </c>
      <c r="L10" s="14">
        <v>0.5</v>
      </c>
      <c r="M10" s="15">
        <f t="shared" si="2"/>
        <v>4449.4449001775156</v>
      </c>
    </row>
    <row r="11" spans="1:18" x14ac:dyDescent="0.25">
      <c r="A11" s="54" t="s">
        <v>18</v>
      </c>
      <c r="B11" s="54">
        <v>124</v>
      </c>
      <c r="C11" s="54"/>
      <c r="D11" s="54"/>
      <c r="E11" s="54"/>
      <c r="F11" s="54">
        <f>SUM(B11:D11)</f>
        <v>124</v>
      </c>
      <c r="G11" s="10">
        <f t="shared" si="3"/>
        <v>43.519230769230766</v>
      </c>
      <c r="H11" s="12"/>
      <c r="I11" s="12">
        <v>23.19</v>
      </c>
      <c r="J11" s="12">
        <v>1.1200000000000001</v>
      </c>
      <c r="K11" s="13">
        <f>G11*I11*J11*H5</f>
        <v>396.69753949704148</v>
      </c>
      <c r="L11" s="14">
        <v>0.5</v>
      </c>
      <c r="M11" s="15">
        <f t="shared" si="2"/>
        <v>198.34876974852074</v>
      </c>
    </row>
    <row r="12" spans="1:18" x14ac:dyDescent="0.25">
      <c r="L12" s="1" t="s">
        <v>20</v>
      </c>
      <c r="M12" s="2">
        <f>SUM(M3:M11)</f>
        <v>95923.910272056208</v>
      </c>
    </row>
    <row r="13" spans="1:18" x14ac:dyDescent="0.25">
      <c r="L13" s="22" t="s">
        <v>21</v>
      </c>
      <c r="M13" s="23">
        <f>M12/347</f>
        <v>276.43778176385075</v>
      </c>
      <c r="N13" s="24" t="s">
        <v>123</v>
      </c>
    </row>
    <row r="14" spans="1:18" x14ac:dyDescent="0.25">
      <c r="I14" s="1"/>
      <c r="J14" s="1"/>
    </row>
    <row r="15" spans="1:18" x14ac:dyDescent="0.25">
      <c r="A15" s="153" t="s">
        <v>189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5"/>
      <c r="N15" s="21"/>
      <c r="O15" s="21"/>
    </row>
    <row r="16" spans="1:18" ht="30" x14ac:dyDescent="0.25">
      <c r="A16" s="54" t="s">
        <v>125</v>
      </c>
      <c r="B16" s="16" t="s">
        <v>3</v>
      </c>
      <c r="C16" s="17" t="s">
        <v>4</v>
      </c>
      <c r="D16" s="17" t="s">
        <v>5</v>
      </c>
      <c r="E16" s="17" t="s">
        <v>7</v>
      </c>
      <c r="F16" s="17" t="s">
        <v>8</v>
      </c>
      <c r="G16" s="17" t="s">
        <v>9</v>
      </c>
      <c r="H16" s="17" t="s">
        <v>19</v>
      </c>
      <c r="I16" s="17" t="s">
        <v>10</v>
      </c>
      <c r="J16" s="17" t="s">
        <v>27</v>
      </c>
      <c r="K16" s="17" t="s">
        <v>23</v>
      </c>
      <c r="L16" s="17" t="s">
        <v>22</v>
      </c>
      <c r="M16" s="17" t="s">
        <v>24</v>
      </c>
      <c r="N16" s="7"/>
      <c r="O16" s="7"/>
    </row>
    <row r="17" spans="1:15" x14ac:dyDescent="0.25">
      <c r="A17" s="54" t="s">
        <v>6</v>
      </c>
      <c r="B17" s="54">
        <v>8</v>
      </c>
      <c r="C17" s="54">
        <v>8</v>
      </c>
      <c r="D17" s="54"/>
      <c r="E17" s="54">
        <v>16</v>
      </c>
      <c r="F17" s="54">
        <v>116</v>
      </c>
      <c r="G17" s="10">
        <f>+E17*F17</f>
        <v>1856</v>
      </c>
      <c r="H17" s="11">
        <f t="shared" ref="H17:H23" si="4">+G17/2080</f>
        <v>0.89230769230769236</v>
      </c>
      <c r="I17" s="77">
        <f>'one to one'!$O$3</f>
        <v>13.8</v>
      </c>
      <c r="J17" s="12">
        <v>1.2</v>
      </c>
      <c r="K17" s="13">
        <f t="shared" ref="K17:K23" si="5">G17*I17*J17</f>
        <v>30735.360000000001</v>
      </c>
      <c r="L17" s="14">
        <v>0.5</v>
      </c>
      <c r="M17" s="15">
        <f t="shared" ref="M17:M27" si="6">L17*K17</f>
        <v>15367.68</v>
      </c>
      <c r="N17" s="7"/>
      <c r="O17" s="7"/>
    </row>
    <row r="18" spans="1:15" x14ac:dyDescent="0.25">
      <c r="A18" s="54" t="s">
        <v>16</v>
      </c>
      <c r="B18" s="54">
        <v>2</v>
      </c>
      <c r="C18" s="54">
        <v>8</v>
      </c>
      <c r="D18" s="54"/>
      <c r="E18" s="54">
        <v>10</v>
      </c>
      <c r="F18" s="54">
        <v>249</v>
      </c>
      <c r="G18" s="10">
        <f>+E18*F18</f>
        <v>2490</v>
      </c>
      <c r="H18" s="11">
        <f t="shared" si="4"/>
        <v>1.1971153846153846</v>
      </c>
      <c r="I18" s="77">
        <f>'one to one'!$O$3</f>
        <v>13.8</v>
      </c>
      <c r="J18" s="12">
        <v>1.2</v>
      </c>
      <c r="K18" s="13">
        <f t="shared" si="5"/>
        <v>41234.400000000001</v>
      </c>
      <c r="L18" s="14">
        <v>0.5</v>
      </c>
      <c r="M18" s="15">
        <f t="shared" si="6"/>
        <v>20617.2</v>
      </c>
      <c r="N18" s="7"/>
      <c r="O18" s="7"/>
    </row>
    <row r="19" spans="1:15" x14ac:dyDescent="0.25">
      <c r="A19" s="54" t="s">
        <v>126</v>
      </c>
      <c r="B19" s="54"/>
      <c r="C19" s="54"/>
      <c r="D19" s="54">
        <v>8</v>
      </c>
      <c r="E19" s="54">
        <v>8</v>
      </c>
      <c r="F19" s="54">
        <v>365</v>
      </c>
      <c r="G19" s="10">
        <v>2920</v>
      </c>
      <c r="H19" s="11">
        <f t="shared" si="4"/>
        <v>1.4038461538461537</v>
      </c>
      <c r="I19" s="77">
        <v>10.5</v>
      </c>
      <c r="J19" s="12">
        <v>1.2</v>
      </c>
      <c r="K19" s="13">
        <f t="shared" si="5"/>
        <v>36792</v>
      </c>
      <c r="L19" s="14">
        <v>0.5</v>
      </c>
      <c r="M19" s="15">
        <f t="shared" si="6"/>
        <v>18396</v>
      </c>
      <c r="N19" s="7"/>
      <c r="O19" s="7"/>
    </row>
    <row r="20" spans="1:15" x14ac:dyDescent="0.25">
      <c r="A20" s="54" t="s">
        <v>11</v>
      </c>
      <c r="B20" s="54">
        <v>2</v>
      </c>
      <c r="C20" s="54"/>
      <c r="D20" s="54"/>
      <c r="E20" s="54">
        <v>2</v>
      </c>
      <c r="F20" s="54">
        <v>365</v>
      </c>
      <c r="G20" s="10">
        <f>+E20*F20</f>
        <v>730</v>
      </c>
      <c r="H20" s="11">
        <f t="shared" si="4"/>
        <v>0.35096153846153844</v>
      </c>
      <c r="I20" s="12">
        <v>23.19</v>
      </c>
      <c r="J20" s="12">
        <v>1.2</v>
      </c>
      <c r="K20" s="13">
        <f t="shared" si="5"/>
        <v>20314.439999999999</v>
      </c>
      <c r="L20" s="14">
        <v>0.5</v>
      </c>
      <c r="M20" s="15">
        <f t="shared" si="6"/>
        <v>10157.219999999999</v>
      </c>
      <c r="N20" s="7"/>
      <c r="O20" s="7"/>
    </row>
    <row r="21" spans="1:15" x14ac:dyDescent="0.25">
      <c r="A21" s="54" t="s">
        <v>12</v>
      </c>
      <c r="B21" s="54">
        <v>8</v>
      </c>
      <c r="C21" s="54"/>
      <c r="D21" s="54"/>
      <c r="E21" s="54"/>
      <c r="F21" s="54"/>
      <c r="G21" s="10">
        <v>2080</v>
      </c>
      <c r="H21" s="11">
        <f t="shared" si="4"/>
        <v>1</v>
      </c>
      <c r="I21" s="12">
        <v>37.15</v>
      </c>
      <c r="J21" s="12">
        <v>1.2</v>
      </c>
      <c r="K21" s="13">
        <f t="shared" si="5"/>
        <v>92726.399999999994</v>
      </c>
      <c r="L21" s="14">
        <f>1/12</f>
        <v>8.3333333333333329E-2</v>
      </c>
      <c r="M21" s="15">
        <f t="shared" si="6"/>
        <v>7727.1999999999989</v>
      </c>
      <c r="N21" s="7"/>
      <c r="O21" s="7"/>
    </row>
    <row r="22" spans="1:15" x14ac:dyDescent="0.25">
      <c r="A22" s="54" t="s">
        <v>13</v>
      </c>
      <c r="B22" s="54">
        <v>8</v>
      </c>
      <c r="C22" s="54"/>
      <c r="D22" s="54"/>
      <c r="E22" s="54"/>
      <c r="F22" s="54"/>
      <c r="G22" s="10">
        <v>2080</v>
      </c>
      <c r="H22" s="11">
        <f t="shared" si="4"/>
        <v>1</v>
      </c>
      <c r="I22" s="77">
        <v>31.84</v>
      </c>
      <c r="J22" s="12">
        <v>1.2</v>
      </c>
      <c r="K22" s="13">
        <f t="shared" si="5"/>
        <v>79472.639999999999</v>
      </c>
      <c r="L22" s="14">
        <f>1/12</f>
        <v>8.3333333333333329E-2</v>
      </c>
      <c r="M22" s="15">
        <f t="shared" si="6"/>
        <v>6622.7199999999993</v>
      </c>
      <c r="N22" s="2"/>
      <c r="O22" s="7"/>
    </row>
    <row r="23" spans="1:15" x14ac:dyDescent="0.25">
      <c r="A23" s="54" t="s">
        <v>14</v>
      </c>
      <c r="B23" s="54">
        <v>8</v>
      </c>
      <c r="C23" s="54"/>
      <c r="D23" s="54"/>
      <c r="E23" s="54"/>
      <c r="F23" s="54"/>
      <c r="G23" s="10">
        <v>2080</v>
      </c>
      <c r="H23" s="11">
        <f t="shared" si="4"/>
        <v>1</v>
      </c>
      <c r="I23" s="77">
        <v>23.88</v>
      </c>
      <c r="J23" s="12">
        <v>1.2</v>
      </c>
      <c r="K23" s="13">
        <f t="shared" si="5"/>
        <v>59604.479999999996</v>
      </c>
      <c r="L23" s="14">
        <f>1/12</f>
        <v>8.3333333333333329E-2</v>
      </c>
      <c r="M23" s="15">
        <f t="shared" si="6"/>
        <v>4967.0399999999991</v>
      </c>
      <c r="N23" s="7"/>
      <c r="O23" s="7"/>
    </row>
    <row r="24" spans="1:15" x14ac:dyDescent="0.25">
      <c r="A24" s="54" t="s">
        <v>28</v>
      </c>
      <c r="B24" s="54">
        <v>124</v>
      </c>
      <c r="C24" s="54"/>
      <c r="D24" s="54"/>
      <c r="E24" s="54"/>
      <c r="F24" s="54">
        <v>124</v>
      </c>
      <c r="G24" s="10">
        <f t="shared" ref="G24:G27" si="7">H18*F24</f>
        <v>148.44230769230768</v>
      </c>
      <c r="H24" s="12"/>
      <c r="I24" s="77">
        <f>'one to one'!$O$3</f>
        <v>13.8</v>
      </c>
      <c r="J24" s="12">
        <v>1.1200000000000001</v>
      </c>
      <c r="K24" s="13">
        <f>G24*I24*J24*H17</f>
        <v>2047.2432284023669</v>
      </c>
      <c r="L24" s="14">
        <v>0.5</v>
      </c>
      <c r="M24" s="15">
        <f t="shared" si="6"/>
        <v>1023.6216142011834</v>
      </c>
      <c r="N24" s="7"/>
      <c r="O24" s="7"/>
    </row>
    <row r="25" spans="1:15" x14ac:dyDescent="0.25">
      <c r="A25" s="54" t="s">
        <v>67</v>
      </c>
      <c r="B25" s="54">
        <v>124</v>
      </c>
      <c r="C25" s="54"/>
      <c r="D25" s="54"/>
      <c r="E25" s="54"/>
      <c r="F25" s="54">
        <f>SUM(B25:D25)</f>
        <v>124</v>
      </c>
      <c r="G25" s="10">
        <f t="shared" si="7"/>
        <v>174.07692307692307</v>
      </c>
      <c r="H25" s="12"/>
      <c r="I25" s="77">
        <f>'one to one'!$O$3</f>
        <v>13.8</v>
      </c>
      <c r="J25" s="12">
        <v>1.1200000000000001</v>
      </c>
      <c r="K25" s="13">
        <f>G25*I25*J25*H18</f>
        <v>3220.8783550295857</v>
      </c>
      <c r="L25" s="14">
        <v>0.5</v>
      </c>
      <c r="M25" s="15">
        <f t="shared" si="6"/>
        <v>1610.4391775147928</v>
      </c>
      <c r="N25" s="3"/>
      <c r="O25" s="7"/>
    </row>
    <row r="26" spans="1:15" x14ac:dyDescent="0.25">
      <c r="A26" s="54" t="s">
        <v>127</v>
      </c>
      <c r="B26" s="54">
        <v>124</v>
      </c>
      <c r="C26" s="54"/>
      <c r="D26" s="54"/>
      <c r="E26" s="54"/>
      <c r="F26" s="54">
        <v>124</v>
      </c>
      <c r="G26" s="10">
        <f t="shared" si="7"/>
        <v>43.519230769230766</v>
      </c>
      <c r="H26" s="12"/>
      <c r="I26" s="77">
        <v>10.5</v>
      </c>
      <c r="J26" s="12">
        <v>1.1200000000000001</v>
      </c>
      <c r="K26" s="13">
        <f>G26*I26*J26*H19</f>
        <v>718.46902366863901</v>
      </c>
      <c r="L26" s="14">
        <v>0.5</v>
      </c>
      <c r="M26" s="15">
        <f t="shared" si="6"/>
        <v>359.23451183431951</v>
      </c>
      <c r="N26" s="3"/>
      <c r="O26" s="7"/>
    </row>
    <row r="27" spans="1:15" x14ac:dyDescent="0.25">
      <c r="A27" s="54" t="s">
        <v>18</v>
      </c>
      <c r="B27" s="54">
        <v>124</v>
      </c>
      <c r="C27" s="54"/>
      <c r="D27" s="54"/>
      <c r="E27" s="54"/>
      <c r="F27" s="54">
        <f>SUM(B27:D27)</f>
        <v>124</v>
      </c>
      <c r="G27" s="10">
        <f t="shared" si="7"/>
        <v>124</v>
      </c>
      <c r="H27" s="12"/>
      <c r="I27" s="12">
        <v>23.19</v>
      </c>
      <c r="J27" s="12">
        <v>1.1200000000000001</v>
      </c>
      <c r="K27" s="13">
        <f>G27*I27*J27*H20</f>
        <v>1130.3162769230769</v>
      </c>
      <c r="L27" s="14">
        <v>0.5</v>
      </c>
      <c r="M27" s="15">
        <f t="shared" si="6"/>
        <v>565.15813846153844</v>
      </c>
      <c r="N27" s="3"/>
      <c r="O27" s="7"/>
    </row>
    <row r="28" spans="1:15" x14ac:dyDescent="0.25">
      <c r="L28" s="1" t="s">
        <v>20</v>
      </c>
      <c r="M28" s="2">
        <f>SUM(M17:M27)</f>
        <v>87413.513442011841</v>
      </c>
      <c r="N28" s="3"/>
      <c r="O28" s="7"/>
    </row>
    <row r="29" spans="1:15" x14ac:dyDescent="0.25">
      <c r="L29" s="22" t="s">
        <v>21</v>
      </c>
      <c r="M29" s="23">
        <f>M28/347</f>
        <v>251.91214248418399</v>
      </c>
      <c r="N29" s="3" t="s">
        <v>128</v>
      </c>
      <c r="O29" s="7"/>
    </row>
    <row r="30" spans="1:15" x14ac:dyDescent="0.25">
      <c r="A30" s="38"/>
      <c r="B30" s="3"/>
      <c r="C30" s="3"/>
      <c r="D30" s="3"/>
      <c r="E30" s="3"/>
      <c r="F30" s="3"/>
      <c r="G30" s="8"/>
      <c r="H30" s="8"/>
      <c r="I30" s="12"/>
      <c r="J30" s="12"/>
      <c r="K30" s="13"/>
      <c r="L30" s="54"/>
      <c r="M30" s="15"/>
      <c r="N30" s="3"/>
      <c r="O30" s="7"/>
    </row>
    <row r="31" spans="1:15" x14ac:dyDescent="0.25">
      <c r="A31" s="18"/>
      <c r="B31" s="3"/>
      <c r="C31" s="8"/>
      <c r="D31" s="8"/>
      <c r="E31" s="8"/>
      <c r="F31" s="8"/>
      <c r="G31" s="8"/>
      <c r="H31" s="8"/>
      <c r="I31" s="12"/>
      <c r="J31" s="12"/>
      <c r="K31" s="13"/>
      <c r="L31" s="54"/>
      <c r="M31" s="15"/>
      <c r="N31" s="3"/>
      <c r="O31" s="7"/>
    </row>
    <row r="32" spans="1:15" x14ac:dyDescent="0.25">
      <c r="A32" s="18"/>
      <c r="B32" s="3"/>
      <c r="C32" s="8"/>
      <c r="D32" s="8"/>
      <c r="E32" s="8"/>
      <c r="F32" s="8"/>
      <c r="G32" s="8"/>
      <c r="H32" s="8"/>
      <c r="I32" s="12"/>
      <c r="J32" s="12"/>
      <c r="K32" s="13"/>
      <c r="L32" s="54"/>
      <c r="M32" s="15"/>
      <c r="N32" s="3"/>
      <c r="O32" s="7"/>
    </row>
    <row r="33" spans="1:15" ht="15" customHeight="1" x14ac:dyDescent="0.25">
      <c r="A33" s="18"/>
      <c r="B33" s="3"/>
      <c r="C33" s="8"/>
      <c r="D33" s="8"/>
      <c r="E33" s="8"/>
      <c r="F33" s="8"/>
      <c r="G33" s="8"/>
      <c r="H33" s="8"/>
      <c r="I33" s="12"/>
      <c r="J33" s="12"/>
      <c r="K33" s="13"/>
      <c r="L33" s="54"/>
      <c r="M33" s="15"/>
      <c r="N33" s="3"/>
      <c r="O33" s="7"/>
    </row>
    <row r="34" spans="1:15" x14ac:dyDescent="0.25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46"/>
      <c r="O34" s="46"/>
    </row>
    <row r="35" spans="1:15" x14ac:dyDescent="0.2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46"/>
      <c r="O35" s="46"/>
    </row>
    <row r="36" spans="1:15" x14ac:dyDescent="0.2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46"/>
      <c r="O36" s="46"/>
    </row>
    <row r="37" spans="1:15" x14ac:dyDescent="0.2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46"/>
      <c r="O37" s="46"/>
    </row>
    <row r="38" spans="1:15" x14ac:dyDescent="0.2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46"/>
      <c r="O38" s="46"/>
    </row>
    <row r="39" spans="1:15" x14ac:dyDescent="0.2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46"/>
      <c r="O39" s="46"/>
    </row>
    <row r="40" spans="1:15" x14ac:dyDescent="0.2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46"/>
      <c r="O40" s="46"/>
    </row>
    <row r="41" spans="1:15" x14ac:dyDescent="0.2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</row>
    <row r="42" spans="1:15" x14ac:dyDescent="0.2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</row>
    <row r="43" spans="1:15" x14ac:dyDescent="0.2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</row>
  </sheetData>
  <mergeCells count="2">
    <mergeCell ref="A15:M15"/>
    <mergeCell ref="A34:M43"/>
  </mergeCells>
  <pageMargins left="0.7" right="0.7" top="0.75" bottom="0.75" header="0.3" footer="0.3"/>
  <pageSetup scale="75" orientation="landscape" r:id="rId1"/>
  <headerFooter>
    <oddHeader>&amp;C&amp;F // 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5"/>
  <sheetViews>
    <sheetView topLeftCell="C22" zoomScaleNormal="100" workbookViewId="0">
      <selection activeCell="M31" sqref="M31"/>
    </sheetView>
  </sheetViews>
  <sheetFormatPr defaultColWidth="8.85546875" defaultRowHeight="15" x14ac:dyDescent="0.25"/>
  <cols>
    <col min="1" max="1" width="17.28515625" customWidth="1"/>
    <col min="6" max="6" width="10.85546875" customWidth="1"/>
    <col min="7" max="7" width="9.42578125" bestFit="1" customWidth="1"/>
    <col min="8" max="8" width="9.42578125" customWidth="1"/>
    <col min="11" max="11" width="12.42578125" bestFit="1" customWidth="1"/>
    <col min="12" max="12" width="10.7109375" customWidth="1"/>
    <col min="13" max="13" width="14.7109375" customWidth="1"/>
    <col min="14" max="14" width="12.42578125" bestFit="1" customWidth="1"/>
  </cols>
  <sheetData>
    <row r="2" spans="1:18" ht="30" x14ac:dyDescent="0.25">
      <c r="A2" s="54" t="s">
        <v>147</v>
      </c>
      <c r="B2" s="16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7" t="s">
        <v>19</v>
      </c>
      <c r="I2" s="17" t="s">
        <v>10</v>
      </c>
      <c r="J2" s="17" t="s">
        <v>27</v>
      </c>
      <c r="K2" s="17" t="s">
        <v>23</v>
      </c>
      <c r="L2" s="17" t="s">
        <v>22</v>
      </c>
      <c r="M2" s="17" t="s">
        <v>24</v>
      </c>
    </row>
    <row r="3" spans="1:18" x14ac:dyDescent="0.25">
      <c r="A3" s="54" t="s">
        <v>6</v>
      </c>
      <c r="B3" s="54">
        <v>8</v>
      </c>
      <c r="C3" s="54">
        <v>8</v>
      </c>
      <c r="D3" s="54">
        <v>8</v>
      </c>
      <c r="E3" s="54">
        <v>24</v>
      </c>
      <c r="F3" s="54">
        <v>116</v>
      </c>
      <c r="G3" s="10">
        <f>+E3*F3</f>
        <v>2784</v>
      </c>
      <c r="H3" s="11">
        <f t="shared" ref="H3:H9" si="0">+G3/2080</f>
        <v>1.3384615384615384</v>
      </c>
      <c r="I3" s="77">
        <f>'one to one'!$O$3</f>
        <v>13.8</v>
      </c>
      <c r="J3" s="12">
        <v>1.2</v>
      </c>
      <c r="K3" s="13">
        <f t="shared" ref="K3:K9" si="1">G3*I3*J3</f>
        <v>46103.040000000001</v>
      </c>
      <c r="L3" s="14">
        <v>0.5</v>
      </c>
      <c r="M3" s="15">
        <f t="shared" ref="M3:M13" si="2">L3*K3</f>
        <v>23051.52</v>
      </c>
    </row>
    <row r="4" spans="1:18" x14ac:dyDescent="0.25">
      <c r="A4" s="54" t="s">
        <v>16</v>
      </c>
      <c r="B4" s="54">
        <v>2</v>
      </c>
      <c r="C4" s="54">
        <v>8</v>
      </c>
      <c r="D4" s="54">
        <v>8</v>
      </c>
      <c r="E4" s="54">
        <v>18</v>
      </c>
      <c r="F4" s="54">
        <v>249</v>
      </c>
      <c r="G4" s="10">
        <f>+E4*F4</f>
        <v>4482</v>
      </c>
      <c r="H4" s="11">
        <f t="shared" si="0"/>
        <v>2.1548076923076924</v>
      </c>
      <c r="I4" s="77">
        <f>'one to one'!$O$3</f>
        <v>13.8</v>
      </c>
      <c r="J4" s="12">
        <v>1.2</v>
      </c>
      <c r="K4" s="13">
        <f t="shared" si="1"/>
        <v>74221.919999999998</v>
      </c>
      <c r="L4" s="14">
        <v>0.5</v>
      </c>
      <c r="M4" s="15">
        <f t="shared" si="2"/>
        <v>37110.959999999999</v>
      </c>
    </row>
    <row r="5" spans="1:18" x14ac:dyDescent="0.25">
      <c r="A5" s="54" t="s">
        <v>25</v>
      </c>
      <c r="B5" s="54"/>
      <c r="C5" s="54">
        <v>4</v>
      </c>
      <c r="D5" s="54"/>
      <c r="E5" s="54">
        <v>4</v>
      </c>
      <c r="F5" s="54">
        <v>365</v>
      </c>
      <c r="G5" s="10">
        <f>+E5*F5</f>
        <v>1460</v>
      </c>
      <c r="H5" s="11">
        <f t="shared" si="0"/>
        <v>0.70192307692307687</v>
      </c>
      <c r="I5" s="77">
        <f>'one to one'!$O$3</f>
        <v>13.8</v>
      </c>
      <c r="J5" s="12">
        <v>1.2</v>
      </c>
      <c r="K5" s="13">
        <f t="shared" si="1"/>
        <v>24177.599999999999</v>
      </c>
      <c r="L5" s="14">
        <v>0.5</v>
      </c>
      <c r="M5" s="15">
        <f t="shared" si="2"/>
        <v>12088.8</v>
      </c>
      <c r="P5" t="s">
        <v>210</v>
      </c>
      <c r="Q5">
        <v>1.4705882352941178E-2</v>
      </c>
      <c r="R5" t="s">
        <v>211</v>
      </c>
    </row>
    <row r="6" spans="1:18" x14ac:dyDescent="0.25">
      <c r="A6" s="54" t="s">
        <v>11</v>
      </c>
      <c r="B6" s="54">
        <v>3</v>
      </c>
      <c r="C6" s="54"/>
      <c r="D6" s="54"/>
      <c r="E6" s="54">
        <v>3</v>
      </c>
      <c r="F6" s="54">
        <v>365</v>
      </c>
      <c r="G6" s="10">
        <f>+E6*F6</f>
        <v>1095</v>
      </c>
      <c r="H6" s="11">
        <f t="shared" si="0"/>
        <v>0.52644230769230771</v>
      </c>
      <c r="I6" s="12">
        <v>23.19</v>
      </c>
      <c r="J6" s="12">
        <v>1.2</v>
      </c>
      <c r="K6" s="13">
        <f t="shared" si="1"/>
        <v>30471.660000000003</v>
      </c>
      <c r="L6" s="14">
        <v>0.5</v>
      </c>
      <c r="M6" s="15">
        <f t="shared" si="2"/>
        <v>15235.830000000002</v>
      </c>
      <c r="O6" t="s">
        <v>11</v>
      </c>
      <c r="P6">
        <v>22.85</v>
      </c>
      <c r="Q6">
        <v>0.33602941176470597</v>
      </c>
      <c r="R6" s="60">
        <v>23.186029411764707</v>
      </c>
    </row>
    <row r="7" spans="1:18" x14ac:dyDescent="0.25">
      <c r="A7" s="54" t="s">
        <v>12</v>
      </c>
      <c r="B7" s="54">
        <v>8</v>
      </c>
      <c r="C7" s="54"/>
      <c r="D7" s="54"/>
      <c r="E7" s="54"/>
      <c r="F7" s="54"/>
      <c r="G7" s="10">
        <v>2080</v>
      </c>
      <c r="H7" s="11">
        <f t="shared" si="0"/>
        <v>1</v>
      </c>
      <c r="I7" s="12">
        <v>37.15</v>
      </c>
      <c r="J7" s="12">
        <v>1.2</v>
      </c>
      <c r="K7" s="13">
        <f t="shared" si="1"/>
        <v>92726.399999999994</v>
      </c>
      <c r="L7" s="14">
        <f>1/12</f>
        <v>8.3333333333333329E-2</v>
      </c>
      <c r="M7" s="15">
        <f t="shared" si="2"/>
        <v>7727.1999999999989</v>
      </c>
      <c r="O7" t="s">
        <v>12</v>
      </c>
      <c r="P7">
        <v>36.61</v>
      </c>
      <c r="Q7">
        <v>0.53838235294117653</v>
      </c>
      <c r="R7" s="60">
        <v>37.148382352941177</v>
      </c>
    </row>
    <row r="8" spans="1:18" x14ac:dyDescent="0.25">
      <c r="A8" s="54" t="s">
        <v>13</v>
      </c>
      <c r="B8" s="54">
        <v>8</v>
      </c>
      <c r="C8" s="54"/>
      <c r="D8" s="54"/>
      <c r="E8" s="54"/>
      <c r="F8" s="54"/>
      <c r="G8" s="10">
        <v>2080</v>
      </c>
      <c r="H8" s="11">
        <f t="shared" si="0"/>
        <v>1</v>
      </c>
      <c r="I8" s="77">
        <v>31.84</v>
      </c>
      <c r="J8" s="12">
        <v>1.2</v>
      </c>
      <c r="K8" s="13">
        <f t="shared" si="1"/>
        <v>79472.639999999999</v>
      </c>
      <c r="L8" s="14">
        <f>1/12</f>
        <v>8.3333333333333329E-2</v>
      </c>
      <c r="M8" s="15">
        <f t="shared" si="2"/>
        <v>6622.7199999999993</v>
      </c>
      <c r="O8" t="s">
        <v>13</v>
      </c>
      <c r="P8">
        <v>31.38</v>
      </c>
      <c r="Q8">
        <v>0.46147058823529413</v>
      </c>
      <c r="R8" s="60">
        <v>31.841470588235293</v>
      </c>
    </row>
    <row r="9" spans="1:18" x14ac:dyDescent="0.25">
      <c r="A9" s="54" t="s">
        <v>14</v>
      </c>
      <c r="B9" s="54">
        <v>8</v>
      </c>
      <c r="C9" s="54"/>
      <c r="D9" s="54"/>
      <c r="E9" s="54"/>
      <c r="F9" s="54"/>
      <c r="G9" s="10">
        <v>2080</v>
      </c>
      <c r="H9" s="11">
        <f t="shared" si="0"/>
        <v>1</v>
      </c>
      <c r="I9" s="77">
        <v>23.88</v>
      </c>
      <c r="J9" s="12">
        <v>1.2</v>
      </c>
      <c r="K9" s="13">
        <f t="shared" si="1"/>
        <v>59604.479999999996</v>
      </c>
      <c r="L9" s="14">
        <f>1/12</f>
        <v>8.3333333333333329E-2</v>
      </c>
      <c r="M9" s="15">
        <f t="shared" si="2"/>
        <v>4967.0399999999991</v>
      </c>
      <c r="O9" t="s">
        <v>14</v>
      </c>
      <c r="P9">
        <v>23.53</v>
      </c>
      <c r="Q9">
        <v>0.34602941176470592</v>
      </c>
      <c r="R9" s="60">
        <v>23.876029411764708</v>
      </c>
    </row>
    <row r="10" spans="1:18" x14ac:dyDescent="0.25">
      <c r="A10" s="54" t="s">
        <v>28</v>
      </c>
      <c r="B10" s="54">
        <v>124</v>
      </c>
      <c r="C10" s="54"/>
      <c r="D10" s="54"/>
      <c r="E10" s="54"/>
      <c r="F10" s="54">
        <f>SUM(B10:D10)</f>
        <v>124</v>
      </c>
      <c r="G10" s="10">
        <f>H3*F10</f>
        <v>165.96923076923076</v>
      </c>
      <c r="H10" s="12"/>
      <c r="I10" s="77">
        <f>'one to one'!$O$3</f>
        <v>13.8</v>
      </c>
      <c r="J10" s="12">
        <v>1.1200000000000001</v>
      </c>
      <c r="K10" s="13">
        <f>G10*I10*J10*H3</f>
        <v>3433.448884260355</v>
      </c>
      <c r="L10" s="14">
        <v>0.5</v>
      </c>
      <c r="M10" s="15">
        <f t="shared" si="2"/>
        <v>1716.7244421301775</v>
      </c>
    </row>
    <row r="11" spans="1:18" x14ac:dyDescent="0.25">
      <c r="A11" s="54" t="s">
        <v>67</v>
      </c>
      <c r="B11" s="54">
        <v>124</v>
      </c>
      <c r="C11" s="54"/>
      <c r="D11" s="54"/>
      <c r="E11" s="54"/>
      <c r="F11" s="54">
        <f>SUM(B11:D11)</f>
        <v>124</v>
      </c>
      <c r="G11" s="10">
        <f>H4*F11</f>
        <v>267.19615384615383</v>
      </c>
      <c r="H11" s="12"/>
      <c r="I11" s="77">
        <f>'one to one'!$O$3</f>
        <v>13.8</v>
      </c>
      <c r="J11" s="12">
        <v>1.1200000000000001</v>
      </c>
      <c r="K11" s="13">
        <f>G11*I11*J11*H4</f>
        <v>8898.8898003550312</v>
      </c>
      <c r="L11" s="14">
        <v>0.5</v>
      </c>
      <c r="M11" s="15">
        <f t="shared" si="2"/>
        <v>4449.4449001775156</v>
      </c>
    </row>
    <row r="12" spans="1:18" x14ac:dyDescent="0.25">
      <c r="A12" s="54" t="s">
        <v>129</v>
      </c>
      <c r="B12" s="54">
        <v>124</v>
      </c>
      <c r="C12" s="54"/>
      <c r="D12" s="54"/>
      <c r="E12" s="54"/>
      <c r="F12" s="54">
        <v>124</v>
      </c>
      <c r="G12" s="10">
        <f>H5*F12</f>
        <v>87.038461538461533</v>
      </c>
      <c r="H12" s="12"/>
      <c r="I12" s="77">
        <f>'one to one'!$O$3</f>
        <v>13.8</v>
      </c>
      <c r="J12" s="12">
        <v>1.1200000000000001</v>
      </c>
      <c r="K12" s="13">
        <f>G12*I12*J12*H5</f>
        <v>944.2735739644969</v>
      </c>
      <c r="L12" s="14">
        <v>0.5</v>
      </c>
      <c r="M12" s="15">
        <f t="shared" si="2"/>
        <v>472.13678698224845</v>
      </c>
    </row>
    <row r="13" spans="1:18" x14ac:dyDescent="0.25">
      <c r="A13" s="54" t="s">
        <v>18</v>
      </c>
      <c r="B13" s="54">
        <v>124</v>
      </c>
      <c r="C13" s="54"/>
      <c r="D13" s="54"/>
      <c r="E13" s="54"/>
      <c r="F13" s="54">
        <f>SUM(B13:D13)</f>
        <v>124</v>
      </c>
      <c r="G13" s="10">
        <f>H6*F13</f>
        <v>65.27884615384616</v>
      </c>
      <c r="H13" s="12"/>
      <c r="I13" s="12">
        <v>23.19</v>
      </c>
      <c r="J13" s="12">
        <v>1.1200000000000001</v>
      </c>
      <c r="K13" s="13">
        <f>G13*I13*J13*H6</f>
        <v>892.56946386834352</v>
      </c>
      <c r="L13" s="14">
        <v>0.5</v>
      </c>
      <c r="M13" s="15">
        <f t="shared" si="2"/>
        <v>446.28473193417176</v>
      </c>
    </row>
    <row r="14" spans="1:18" x14ac:dyDescent="0.25">
      <c r="L14" s="1" t="s">
        <v>20</v>
      </c>
      <c r="M14" s="2">
        <f>SUM(M3:M13)</f>
        <v>113888.6608612241</v>
      </c>
    </row>
    <row r="15" spans="1:18" x14ac:dyDescent="0.25">
      <c r="L15" s="22" t="s">
        <v>21</v>
      </c>
      <c r="M15" s="23">
        <f>M14/347</f>
        <v>328.20939729459394</v>
      </c>
      <c r="N15" s="24"/>
    </row>
    <row r="16" spans="1:18" x14ac:dyDescent="0.25">
      <c r="I16" s="1"/>
      <c r="J16" s="1"/>
    </row>
    <row r="17" spans="1:19" x14ac:dyDescent="0.2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5"/>
      <c r="N17" s="21"/>
    </row>
    <row r="18" spans="1:19" ht="30" x14ac:dyDescent="0.25">
      <c r="A18" s="54" t="s">
        <v>148</v>
      </c>
      <c r="B18" s="16" t="s">
        <v>3</v>
      </c>
      <c r="C18" s="17" t="s">
        <v>4</v>
      </c>
      <c r="D18" s="17" t="s">
        <v>5</v>
      </c>
      <c r="E18" s="17" t="s">
        <v>7</v>
      </c>
      <c r="F18" s="17" t="s">
        <v>8</v>
      </c>
      <c r="G18" s="17" t="s">
        <v>9</v>
      </c>
      <c r="H18" s="17" t="s">
        <v>19</v>
      </c>
      <c r="I18" s="17" t="s">
        <v>10</v>
      </c>
      <c r="J18" s="17" t="s">
        <v>27</v>
      </c>
      <c r="K18" s="17" t="s">
        <v>23</v>
      </c>
      <c r="L18" s="17" t="s">
        <v>22</v>
      </c>
      <c r="M18" s="17" t="s">
        <v>24</v>
      </c>
      <c r="N18" s="7"/>
      <c r="Q18" t="s">
        <v>210</v>
      </c>
      <c r="R18">
        <v>1.4705882352941178E-2</v>
      </c>
      <c r="S18" t="s">
        <v>211</v>
      </c>
    </row>
    <row r="19" spans="1:19" x14ac:dyDescent="0.25">
      <c r="A19" s="54" t="s">
        <v>6</v>
      </c>
      <c r="B19" s="54">
        <v>8</v>
      </c>
      <c r="C19" s="54">
        <v>8</v>
      </c>
      <c r="D19" s="54">
        <v>8</v>
      </c>
      <c r="E19" s="54">
        <v>24</v>
      </c>
      <c r="F19" s="54">
        <v>116</v>
      </c>
      <c r="G19" s="10">
        <f>+E19*F19</f>
        <v>2784</v>
      </c>
      <c r="H19" s="11">
        <f t="shared" ref="H19:H25" si="3">+G19/2080</f>
        <v>1.3384615384615384</v>
      </c>
      <c r="I19" s="77">
        <f>'one to one'!$O$3</f>
        <v>13.8</v>
      </c>
      <c r="J19" s="12">
        <v>1.2</v>
      </c>
      <c r="K19" s="13">
        <f t="shared" ref="K19:K25" si="4">G19*I19*J19</f>
        <v>46103.040000000001</v>
      </c>
      <c r="L19" s="14">
        <v>0.5</v>
      </c>
      <c r="M19" s="15">
        <f t="shared" ref="M19:M29" si="5">L19*K19</f>
        <v>23051.52</v>
      </c>
      <c r="N19" s="7"/>
      <c r="P19" t="s">
        <v>11</v>
      </c>
      <c r="Q19">
        <v>22.85</v>
      </c>
      <c r="R19">
        <v>0.33602941176470597</v>
      </c>
      <c r="S19" s="60">
        <v>23.186029411764707</v>
      </c>
    </row>
    <row r="20" spans="1:19" x14ac:dyDescent="0.25">
      <c r="A20" s="54" t="s">
        <v>16</v>
      </c>
      <c r="B20" s="54">
        <v>3</v>
      </c>
      <c r="C20" s="54">
        <v>8</v>
      </c>
      <c r="D20" s="54">
        <v>8</v>
      </c>
      <c r="E20" s="54">
        <v>19</v>
      </c>
      <c r="F20" s="54">
        <v>249</v>
      </c>
      <c r="G20" s="10">
        <f>+E20*F20</f>
        <v>4731</v>
      </c>
      <c r="H20" s="11">
        <f t="shared" si="3"/>
        <v>2.2745192307692306</v>
      </c>
      <c r="I20" s="77">
        <f>'one to one'!$O$3</f>
        <v>13.8</v>
      </c>
      <c r="J20" s="12">
        <v>1.2</v>
      </c>
      <c r="K20" s="13">
        <f t="shared" si="4"/>
        <v>78345.36</v>
      </c>
      <c r="L20" s="14">
        <v>0.5</v>
      </c>
      <c r="M20" s="15">
        <f t="shared" si="5"/>
        <v>39172.68</v>
      </c>
      <c r="N20" s="7"/>
      <c r="P20" t="s">
        <v>12</v>
      </c>
      <c r="Q20">
        <v>36.61</v>
      </c>
      <c r="R20">
        <v>0.53838235294117653</v>
      </c>
      <c r="S20" s="60">
        <v>37.148382352941177</v>
      </c>
    </row>
    <row r="21" spans="1:19" x14ac:dyDescent="0.25">
      <c r="A21" s="54" t="s">
        <v>25</v>
      </c>
      <c r="B21" s="54"/>
      <c r="C21" s="54">
        <v>8</v>
      </c>
      <c r="D21" s="54"/>
      <c r="E21" s="54">
        <v>8</v>
      </c>
      <c r="F21" s="54">
        <v>365</v>
      </c>
      <c r="G21" s="10">
        <f>+E21*F21</f>
        <v>2920</v>
      </c>
      <c r="H21" s="11">
        <f t="shared" si="3"/>
        <v>1.4038461538461537</v>
      </c>
      <c r="I21" s="77">
        <f>'one to one'!$O$3</f>
        <v>13.8</v>
      </c>
      <c r="J21" s="12">
        <v>1.2</v>
      </c>
      <c r="K21" s="13">
        <f t="shared" si="4"/>
        <v>48355.199999999997</v>
      </c>
      <c r="L21" s="14">
        <v>0.5</v>
      </c>
      <c r="M21" s="15">
        <f t="shared" si="5"/>
        <v>24177.599999999999</v>
      </c>
      <c r="N21" s="7"/>
      <c r="P21" t="s">
        <v>13</v>
      </c>
      <c r="Q21">
        <v>31.38</v>
      </c>
      <c r="R21">
        <v>0.46147058823529413</v>
      </c>
      <c r="S21" s="60">
        <v>31.841470588235293</v>
      </c>
    </row>
    <row r="22" spans="1:19" x14ac:dyDescent="0.25">
      <c r="A22" s="54" t="s">
        <v>11</v>
      </c>
      <c r="B22" s="54">
        <v>4</v>
      </c>
      <c r="C22" s="54"/>
      <c r="D22" s="54"/>
      <c r="E22" s="54">
        <v>4</v>
      </c>
      <c r="F22" s="54">
        <v>365</v>
      </c>
      <c r="G22" s="10">
        <f>+E22*F22</f>
        <v>1460</v>
      </c>
      <c r="H22" s="11">
        <f t="shared" si="3"/>
        <v>0.70192307692307687</v>
      </c>
      <c r="I22" s="12">
        <v>23.19</v>
      </c>
      <c r="J22" s="12">
        <v>1.2</v>
      </c>
      <c r="K22" s="13">
        <f t="shared" si="4"/>
        <v>40628.879999999997</v>
      </c>
      <c r="L22" s="14">
        <f>1/3</f>
        <v>0.33333333333333331</v>
      </c>
      <c r="M22" s="15">
        <f t="shared" si="5"/>
        <v>13542.96</v>
      </c>
      <c r="N22" s="7"/>
      <c r="P22" t="s">
        <v>14</v>
      </c>
      <c r="Q22">
        <v>23.53</v>
      </c>
      <c r="R22">
        <v>0.34602941176470592</v>
      </c>
      <c r="S22" s="60">
        <v>23.876029411764708</v>
      </c>
    </row>
    <row r="23" spans="1:19" x14ac:dyDescent="0.25">
      <c r="A23" s="54" t="s">
        <v>12</v>
      </c>
      <c r="B23" s="54">
        <v>8</v>
      </c>
      <c r="C23" s="54"/>
      <c r="D23" s="54"/>
      <c r="E23" s="54"/>
      <c r="F23" s="54"/>
      <c r="G23" s="10">
        <v>2080</v>
      </c>
      <c r="H23" s="11">
        <f t="shared" si="3"/>
        <v>1</v>
      </c>
      <c r="I23" s="12">
        <v>37.15</v>
      </c>
      <c r="J23" s="12">
        <v>1.2</v>
      </c>
      <c r="K23" s="13">
        <f t="shared" si="4"/>
        <v>92726.399999999994</v>
      </c>
      <c r="L23" s="14">
        <f>1/12</f>
        <v>8.3333333333333329E-2</v>
      </c>
      <c r="M23" s="15">
        <f t="shared" si="5"/>
        <v>7727.1999999999989</v>
      </c>
      <c r="N23" s="7"/>
    </row>
    <row r="24" spans="1:19" x14ac:dyDescent="0.25">
      <c r="A24" s="54" t="s">
        <v>13</v>
      </c>
      <c r="B24" s="54">
        <v>8</v>
      </c>
      <c r="C24" s="54"/>
      <c r="D24" s="54"/>
      <c r="E24" s="54"/>
      <c r="F24" s="54"/>
      <c r="G24" s="10">
        <v>2080</v>
      </c>
      <c r="H24" s="11">
        <f t="shared" si="3"/>
        <v>1</v>
      </c>
      <c r="I24" s="77">
        <v>31.84</v>
      </c>
      <c r="J24" s="12">
        <v>1.2</v>
      </c>
      <c r="K24" s="13">
        <f t="shared" si="4"/>
        <v>79472.639999999999</v>
      </c>
      <c r="L24" s="14">
        <f>1/12</f>
        <v>8.3333333333333329E-2</v>
      </c>
      <c r="M24" s="15">
        <f t="shared" si="5"/>
        <v>6622.7199999999993</v>
      </c>
      <c r="N24" s="2"/>
    </row>
    <row r="25" spans="1:19" x14ac:dyDescent="0.25">
      <c r="A25" s="54" t="s">
        <v>14</v>
      </c>
      <c r="B25" s="54">
        <v>8</v>
      </c>
      <c r="C25" s="54"/>
      <c r="D25" s="54"/>
      <c r="E25" s="54"/>
      <c r="F25" s="54"/>
      <c r="G25" s="10">
        <v>2080</v>
      </c>
      <c r="H25" s="11">
        <f t="shared" si="3"/>
        <v>1</v>
      </c>
      <c r="I25" s="77">
        <v>23.88</v>
      </c>
      <c r="J25" s="12">
        <v>1.2</v>
      </c>
      <c r="K25" s="13">
        <f t="shared" si="4"/>
        <v>59604.479999999996</v>
      </c>
      <c r="L25" s="14">
        <f>1/12</f>
        <v>8.3333333333333329E-2</v>
      </c>
      <c r="M25" s="15">
        <f t="shared" si="5"/>
        <v>4967.0399999999991</v>
      </c>
      <c r="N25" s="7"/>
    </row>
    <row r="26" spans="1:19" x14ac:dyDescent="0.25">
      <c r="A26" s="54" t="s">
        <v>28</v>
      </c>
      <c r="B26" s="54">
        <v>124</v>
      </c>
      <c r="C26" s="54"/>
      <c r="D26" s="54"/>
      <c r="E26" s="54"/>
      <c r="F26" s="54">
        <f>SUM(B26:D26)</f>
        <v>124</v>
      </c>
      <c r="G26" s="10">
        <f>H19*F26</f>
        <v>165.96923076923076</v>
      </c>
      <c r="H26" s="12"/>
      <c r="I26" s="77">
        <f>'one to one'!$O$3</f>
        <v>13.8</v>
      </c>
      <c r="J26" s="12">
        <v>1.1200000000000001</v>
      </c>
      <c r="K26" s="13">
        <f>G26*I26*J26*H19</f>
        <v>3433.448884260355</v>
      </c>
      <c r="L26" s="14">
        <v>0.5</v>
      </c>
      <c r="M26" s="15">
        <f t="shared" si="5"/>
        <v>1716.7244421301775</v>
      </c>
      <c r="N26" s="7"/>
    </row>
    <row r="27" spans="1:19" x14ac:dyDescent="0.25">
      <c r="A27" s="54" t="s">
        <v>67</v>
      </c>
      <c r="B27" s="54">
        <v>124</v>
      </c>
      <c r="C27" s="54"/>
      <c r="D27" s="54"/>
      <c r="E27" s="54"/>
      <c r="F27" s="54">
        <f>SUM(B27:D27)</f>
        <v>124</v>
      </c>
      <c r="G27" s="10">
        <f>H20*F27</f>
        <v>282.0403846153846</v>
      </c>
      <c r="H27" s="12"/>
      <c r="I27" s="77">
        <f>'one to one'!$O$3</f>
        <v>13.8</v>
      </c>
      <c r="J27" s="12">
        <v>1.1200000000000001</v>
      </c>
      <c r="K27" s="13">
        <f>G27*I27*J27*H20</f>
        <v>9915.1210429881648</v>
      </c>
      <c r="L27" s="14">
        <v>0.5</v>
      </c>
      <c r="M27" s="15">
        <f t="shared" si="5"/>
        <v>4957.5605214940824</v>
      </c>
      <c r="N27" s="3"/>
    </row>
    <row r="28" spans="1:19" x14ac:dyDescent="0.25">
      <c r="A28" s="54" t="s">
        <v>130</v>
      </c>
      <c r="B28" s="54">
        <v>124</v>
      </c>
      <c r="C28" s="54"/>
      <c r="D28" s="54"/>
      <c r="E28" s="54"/>
      <c r="F28" s="54">
        <v>124</v>
      </c>
      <c r="G28" s="10">
        <f>H21*F28</f>
        <v>174.07692307692307</v>
      </c>
      <c r="H28" s="12"/>
      <c r="I28" s="77">
        <f>'one to one'!$O$3</f>
        <v>13.8</v>
      </c>
      <c r="J28" s="12">
        <v>1.1200000000000001</v>
      </c>
      <c r="K28" s="13">
        <f>G28*I28*J28*H21</f>
        <v>3777.0942958579876</v>
      </c>
      <c r="L28" s="14">
        <v>0.5</v>
      </c>
      <c r="M28" s="15">
        <f t="shared" si="5"/>
        <v>1888.5471479289938</v>
      </c>
      <c r="N28" s="3"/>
    </row>
    <row r="29" spans="1:19" x14ac:dyDescent="0.25">
      <c r="A29" s="54" t="s">
        <v>18</v>
      </c>
      <c r="B29" s="54">
        <v>124</v>
      </c>
      <c r="C29" s="54"/>
      <c r="D29" s="54"/>
      <c r="E29" s="54"/>
      <c r="F29" s="54">
        <f>SUM(B29:D29)</f>
        <v>124</v>
      </c>
      <c r="G29" s="10">
        <f>H22*F29</f>
        <v>87.038461538461533</v>
      </c>
      <c r="H29" s="12"/>
      <c r="I29" s="12">
        <v>23.19</v>
      </c>
      <c r="J29" s="12">
        <v>1.1200000000000001</v>
      </c>
      <c r="K29" s="13">
        <f>G29*I29*J29*H22</f>
        <v>1586.7901579881659</v>
      </c>
      <c r="L29" s="14">
        <v>0.5</v>
      </c>
      <c r="M29" s="15">
        <f t="shared" si="5"/>
        <v>793.39507899408295</v>
      </c>
      <c r="N29" s="3"/>
    </row>
    <row r="30" spans="1:19" x14ac:dyDescent="0.25">
      <c r="L30" s="1" t="s">
        <v>20</v>
      </c>
      <c r="M30" s="2">
        <f>SUM(M19:M29)</f>
        <v>128617.94719054732</v>
      </c>
      <c r="N30" s="3"/>
    </row>
    <row r="31" spans="1:19" x14ac:dyDescent="0.25">
      <c r="L31" s="22" t="s">
        <v>21</v>
      </c>
      <c r="M31" s="23">
        <f>M30/347</f>
        <v>370.65690833010757</v>
      </c>
      <c r="N31" s="3"/>
    </row>
    <row r="32" spans="1:19" x14ac:dyDescent="0.25">
      <c r="A32" s="38"/>
      <c r="B32" s="3"/>
      <c r="C32" s="3"/>
      <c r="D32" s="3"/>
      <c r="E32" s="3"/>
      <c r="F32" s="3"/>
      <c r="G32" s="8"/>
      <c r="H32" s="8"/>
      <c r="I32" s="12"/>
      <c r="J32" s="12"/>
      <c r="K32" s="13"/>
      <c r="L32" s="54"/>
      <c r="M32" s="15"/>
      <c r="N32" s="3"/>
    </row>
    <row r="33" spans="1:14" x14ac:dyDescent="0.25">
      <c r="A33" s="18"/>
      <c r="B33" s="3"/>
      <c r="C33" s="8"/>
      <c r="D33" s="8"/>
      <c r="E33" s="8"/>
      <c r="F33" s="8"/>
      <c r="G33" s="8"/>
      <c r="H33" s="8"/>
      <c r="I33" s="12"/>
      <c r="J33" s="12"/>
      <c r="K33" s="13"/>
      <c r="L33" s="54"/>
      <c r="M33" s="15"/>
      <c r="N33" s="3"/>
    </row>
    <row r="34" spans="1:14" x14ac:dyDescent="0.25">
      <c r="A34" s="18"/>
      <c r="B34" s="3"/>
      <c r="C34" s="8"/>
      <c r="D34" s="8"/>
      <c r="E34" s="8"/>
      <c r="F34" s="8"/>
      <c r="G34" s="8"/>
      <c r="H34" s="8"/>
      <c r="I34" s="12"/>
      <c r="J34" s="12"/>
      <c r="K34" s="13"/>
      <c r="L34" s="54"/>
      <c r="M34" s="15"/>
      <c r="N34" s="3"/>
    </row>
    <row r="35" spans="1:14" ht="15" customHeight="1" x14ac:dyDescent="0.25">
      <c r="A35" s="18"/>
      <c r="B35" s="3"/>
      <c r="C35" s="8"/>
      <c r="D35" s="8"/>
      <c r="E35" s="8"/>
      <c r="F35" s="8"/>
      <c r="G35" s="8"/>
      <c r="H35" s="8"/>
      <c r="I35" s="12"/>
      <c r="J35" s="12"/>
      <c r="K35" s="13"/>
      <c r="L35" s="54"/>
      <c r="M35" s="15"/>
      <c r="N35" s="3"/>
    </row>
    <row r="36" spans="1:14" x14ac:dyDescent="0.25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46"/>
    </row>
    <row r="37" spans="1:14" x14ac:dyDescent="0.2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46"/>
    </row>
    <row r="38" spans="1:14" x14ac:dyDescent="0.2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46"/>
    </row>
    <row r="39" spans="1:14" x14ac:dyDescent="0.2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46"/>
    </row>
    <row r="40" spans="1:14" x14ac:dyDescent="0.2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46"/>
    </row>
    <row r="41" spans="1:14" x14ac:dyDescent="0.2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46"/>
    </row>
    <row r="42" spans="1:14" x14ac:dyDescent="0.2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46"/>
    </row>
    <row r="43" spans="1:14" x14ac:dyDescent="0.2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</row>
    <row r="44" spans="1:14" x14ac:dyDescent="0.2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</row>
    <row r="45" spans="1:14" x14ac:dyDescent="0.2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</row>
  </sheetData>
  <mergeCells count="2">
    <mergeCell ref="A17:M17"/>
    <mergeCell ref="A36:M45"/>
  </mergeCells>
  <pageMargins left="0.7" right="0.7" top="0.75" bottom="0.75" header="0.3" footer="0.3"/>
  <pageSetup scale="75" orientation="landscape" r:id="rId1"/>
  <headerFooter>
    <oddHeader>&amp;C&amp;F // 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M17" sqref="M17"/>
    </sheetView>
  </sheetViews>
  <sheetFormatPr defaultRowHeight="15" x14ac:dyDescent="0.25"/>
  <cols>
    <col min="1" max="1" width="21.85546875" customWidth="1"/>
    <col min="11" max="11" width="13.5703125" customWidth="1"/>
    <col min="13" max="13" width="13.42578125" customWidth="1"/>
  </cols>
  <sheetData>
    <row r="1" spans="1:13" x14ac:dyDescent="0.25">
      <c r="A1" s="56" t="s">
        <v>191</v>
      </c>
    </row>
    <row r="2" spans="1:13" ht="45" x14ac:dyDescent="0.25">
      <c r="A2" s="94" t="s">
        <v>190</v>
      </c>
      <c r="B2" s="16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7" t="s">
        <v>19</v>
      </c>
      <c r="I2" s="17" t="s">
        <v>10</v>
      </c>
      <c r="J2" s="17" t="s">
        <v>27</v>
      </c>
      <c r="K2" s="17" t="s">
        <v>23</v>
      </c>
      <c r="L2" s="17" t="s">
        <v>22</v>
      </c>
      <c r="M2" s="17" t="s">
        <v>24</v>
      </c>
    </row>
    <row r="3" spans="1:13" x14ac:dyDescent="0.25">
      <c r="A3" s="54" t="s">
        <v>6</v>
      </c>
      <c r="B3" s="54">
        <v>4</v>
      </c>
      <c r="C3" s="54">
        <v>8</v>
      </c>
      <c r="D3" s="54">
        <v>8</v>
      </c>
      <c r="E3" s="54">
        <v>20</v>
      </c>
      <c r="F3" s="54">
        <v>365</v>
      </c>
      <c r="G3" s="10">
        <f>+E3*F3</f>
        <v>7300</v>
      </c>
      <c r="H3" s="11">
        <f t="shared" ref="H3:H10" si="0">+G3/2080</f>
        <v>3.5096153846153846</v>
      </c>
      <c r="I3" s="77">
        <f>'one to one'!$O$3</f>
        <v>13.8</v>
      </c>
      <c r="J3" s="12">
        <v>1.2</v>
      </c>
      <c r="K3" s="13">
        <f t="shared" ref="K3:K10" si="1">G3*I3*J3</f>
        <v>120888</v>
      </c>
      <c r="L3" s="14">
        <v>0.5</v>
      </c>
      <c r="M3" s="15">
        <f t="shared" ref="M3:M15" si="2">L3*K3</f>
        <v>60444</v>
      </c>
    </row>
    <row r="4" spans="1:13" x14ac:dyDescent="0.25">
      <c r="A4" s="54" t="s">
        <v>16</v>
      </c>
      <c r="B4" s="54"/>
      <c r="C4" s="54">
        <v>8</v>
      </c>
      <c r="D4" s="54"/>
      <c r="E4" s="54">
        <v>8</v>
      </c>
      <c r="F4" s="54">
        <v>365</v>
      </c>
      <c r="G4" s="10">
        <f>+E4*F4</f>
        <v>2920</v>
      </c>
      <c r="H4" s="11">
        <f t="shared" si="0"/>
        <v>1.4038461538461537</v>
      </c>
      <c r="I4" s="77">
        <f>'one to one'!$O$3</f>
        <v>13.8</v>
      </c>
      <c r="J4" s="12">
        <v>1.2</v>
      </c>
      <c r="K4" s="13">
        <f t="shared" si="1"/>
        <v>48355.199999999997</v>
      </c>
      <c r="L4" s="14">
        <v>0.5</v>
      </c>
      <c r="M4" s="15">
        <f t="shared" si="2"/>
        <v>24177.599999999999</v>
      </c>
    </row>
    <row r="5" spans="1:13" x14ac:dyDescent="0.25">
      <c r="A5" s="92" t="s">
        <v>25</v>
      </c>
      <c r="B5" s="92">
        <v>8</v>
      </c>
      <c r="C5" s="92"/>
      <c r="D5" s="92"/>
      <c r="E5" s="92">
        <v>8</v>
      </c>
      <c r="F5" s="92">
        <v>116</v>
      </c>
      <c r="G5" s="10">
        <f>+E5*F5</f>
        <v>928</v>
      </c>
      <c r="H5" s="11">
        <f t="shared" ref="H5" si="3">+G5/2080</f>
        <v>0.44615384615384618</v>
      </c>
      <c r="I5" s="77">
        <f>'one to one'!$O$3</f>
        <v>13.8</v>
      </c>
      <c r="J5" s="12">
        <v>1.2</v>
      </c>
      <c r="K5" s="13">
        <f t="shared" ref="K5" si="4">G5*I5*J5</f>
        <v>15367.68</v>
      </c>
      <c r="L5" s="14">
        <v>0.5</v>
      </c>
      <c r="M5" s="15">
        <f t="shared" ref="M5" si="5">L5*K5</f>
        <v>7683.84</v>
      </c>
    </row>
    <row r="6" spans="1:13" x14ac:dyDescent="0.25">
      <c r="A6" s="54" t="s">
        <v>29</v>
      </c>
      <c r="B6" s="54">
        <v>8</v>
      </c>
      <c r="C6" s="54"/>
      <c r="D6" s="54"/>
      <c r="E6" s="54">
        <v>8</v>
      </c>
      <c r="F6" s="54">
        <v>116</v>
      </c>
      <c r="G6" s="10">
        <f>+E6*F6</f>
        <v>928</v>
      </c>
      <c r="H6" s="11">
        <f t="shared" si="0"/>
        <v>0.44615384615384618</v>
      </c>
      <c r="I6" s="77">
        <f>'one to one'!$O$3</f>
        <v>13.8</v>
      </c>
      <c r="J6" s="12">
        <v>1.2</v>
      </c>
      <c r="K6" s="13">
        <f t="shared" si="1"/>
        <v>15367.68</v>
      </c>
      <c r="L6" s="14">
        <v>0.5</v>
      </c>
      <c r="M6" s="15">
        <f t="shared" si="2"/>
        <v>7683.84</v>
      </c>
    </row>
    <row r="7" spans="1:13" x14ac:dyDescent="0.25">
      <c r="A7" s="54" t="s">
        <v>11</v>
      </c>
      <c r="B7" s="54">
        <v>4</v>
      </c>
      <c r="C7" s="54"/>
      <c r="D7" s="54"/>
      <c r="E7" s="54">
        <v>4</v>
      </c>
      <c r="F7" s="54">
        <v>365</v>
      </c>
      <c r="G7" s="10">
        <f>+E7*F7</f>
        <v>1460</v>
      </c>
      <c r="H7" s="11">
        <f t="shared" si="0"/>
        <v>0.70192307692307687</v>
      </c>
      <c r="I7" s="12">
        <v>23.19</v>
      </c>
      <c r="J7" s="12">
        <v>1.2</v>
      </c>
      <c r="K7" s="13">
        <f t="shared" si="1"/>
        <v>40628.879999999997</v>
      </c>
      <c r="L7" s="14">
        <v>0.5</v>
      </c>
      <c r="M7" s="15">
        <f t="shared" si="2"/>
        <v>20314.439999999999</v>
      </c>
    </row>
    <row r="8" spans="1:13" x14ac:dyDescent="0.25">
      <c r="A8" s="54" t="s">
        <v>12</v>
      </c>
      <c r="B8" s="54">
        <v>8</v>
      </c>
      <c r="C8" s="54"/>
      <c r="D8" s="54"/>
      <c r="E8" s="54"/>
      <c r="F8" s="54"/>
      <c r="G8" s="10">
        <v>2080</v>
      </c>
      <c r="H8" s="11">
        <f t="shared" si="0"/>
        <v>1</v>
      </c>
      <c r="I8" s="12">
        <v>37.15</v>
      </c>
      <c r="J8" s="12">
        <v>1.2</v>
      </c>
      <c r="K8" s="13">
        <f t="shared" si="1"/>
        <v>92726.399999999994</v>
      </c>
      <c r="L8" s="14">
        <f>1/12</f>
        <v>8.3333333333333329E-2</v>
      </c>
      <c r="M8" s="15">
        <f t="shared" si="2"/>
        <v>7727.1999999999989</v>
      </c>
    </row>
    <row r="9" spans="1:13" x14ac:dyDescent="0.25">
      <c r="A9" s="54" t="s">
        <v>13</v>
      </c>
      <c r="B9" s="54">
        <v>8</v>
      </c>
      <c r="C9" s="54"/>
      <c r="D9" s="54"/>
      <c r="E9" s="54"/>
      <c r="F9" s="54"/>
      <c r="G9" s="10">
        <v>2080</v>
      </c>
      <c r="H9" s="11">
        <f t="shared" si="0"/>
        <v>1</v>
      </c>
      <c r="I9" s="77">
        <v>31.84</v>
      </c>
      <c r="J9" s="12">
        <v>1.2</v>
      </c>
      <c r="K9" s="13">
        <f t="shared" si="1"/>
        <v>79472.639999999999</v>
      </c>
      <c r="L9" s="14">
        <f>1/12</f>
        <v>8.3333333333333329E-2</v>
      </c>
      <c r="M9" s="15">
        <f t="shared" si="2"/>
        <v>6622.7199999999993</v>
      </c>
    </row>
    <row r="10" spans="1:13" x14ac:dyDescent="0.25">
      <c r="A10" s="54" t="s">
        <v>14</v>
      </c>
      <c r="B10" s="54">
        <v>8</v>
      </c>
      <c r="C10" s="54"/>
      <c r="D10" s="54"/>
      <c r="E10" s="54"/>
      <c r="F10" s="54"/>
      <c r="G10" s="10">
        <v>2080</v>
      </c>
      <c r="H10" s="11">
        <f t="shared" si="0"/>
        <v>1</v>
      </c>
      <c r="I10" s="77">
        <v>23.88</v>
      </c>
      <c r="J10" s="12">
        <v>1.2</v>
      </c>
      <c r="K10" s="13">
        <f t="shared" si="1"/>
        <v>59604.479999999996</v>
      </c>
      <c r="L10" s="14">
        <f>1/12</f>
        <v>8.3333333333333329E-2</v>
      </c>
      <c r="M10" s="15">
        <f t="shared" si="2"/>
        <v>4967.0399999999991</v>
      </c>
    </row>
    <row r="11" spans="1:13" x14ac:dyDescent="0.25">
      <c r="A11" s="54" t="s">
        <v>28</v>
      </c>
      <c r="B11" s="54">
        <v>124</v>
      </c>
      <c r="C11" s="54"/>
      <c r="D11" s="54"/>
      <c r="E11" s="54"/>
      <c r="F11" s="54">
        <f>SUM(B11:D11)</f>
        <v>124</v>
      </c>
      <c r="G11" s="10">
        <f>H3*F11</f>
        <v>435.19230769230768</v>
      </c>
      <c r="H11" s="12"/>
      <c r="I11" s="77">
        <f>'one to one'!$O$3</f>
        <v>13.8</v>
      </c>
      <c r="J11" s="12">
        <v>1.1200000000000001</v>
      </c>
      <c r="K11" s="13">
        <f>G11*I11*J11*H3</f>
        <v>23606.83934911243</v>
      </c>
      <c r="L11" s="14">
        <v>0.5</v>
      </c>
      <c r="M11" s="15">
        <f t="shared" si="2"/>
        <v>11803.419674556215</v>
      </c>
    </row>
    <row r="12" spans="1:13" x14ac:dyDescent="0.25">
      <c r="A12" s="54" t="s">
        <v>67</v>
      </c>
      <c r="B12" s="54">
        <v>124</v>
      </c>
      <c r="C12" s="54"/>
      <c r="D12" s="54"/>
      <c r="E12" s="54"/>
      <c r="F12" s="54">
        <f>SUM(B12:D12)</f>
        <v>124</v>
      </c>
      <c r="G12" s="10">
        <f>H4*F12</f>
        <v>174.07692307692307</v>
      </c>
      <c r="H12" s="12"/>
      <c r="I12" s="77">
        <f>'one to one'!$O$3</f>
        <v>13.8</v>
      </c>
      <c r="J12" s="12">
        <v>1.1200000000000001</v>
      </c>
      <c r="K12" s="13">
        <f>G12*I12*J12*H4</f>
        <v>3777.0942958579876</v>
      </c>
      <c r="L12" s="14">
        <v>0.5</v>
      </c>
      <c r="M12" s="15">
        <f t="shared" si="2"/>
        <v>1888.5471479289938</v>
      </c>
    </row>
    <row r="13" spans="1:13" x14ac:dyDescent="0.25">
      <c r="A13" s="54" t="s">
        <v>129</v>
      </c>
      <c r="B13" s="54">
        <v>124</v>
      </c>
      <c r="C13" s="54"/>
      <c r="D13" s="54"/>
      <c r="E13" s="54"/>
      <c r="F13" s="54">
        <v>124</v>
      </c>
      <c r="G13" s="10">
        <f>H5*F13</f>
        <v>55.323076923076925</v>
      </c>
      <c r="H13" s="12"/>
      <c r="I13" s="77">
        <f>'one to one'!$O$3</f>
        <v>13.8</v>
      </c>
      <c r="J13" s="12">
        <v>1.1200000000000001</v>
      </c>
      <c r="K13" s="13">
        <f>G13*I13*J13*H6</f>
        <v>381.49432047337291</v>
      </c>
      <c r="L13" s="14">
        <v>0.5</v>
      </c>
      <c r="M13" s="15">
        <f t="shared" si="2"/>
        <v>190.74716023668645</v>
      </c>
    </row>
    <row r="14" spans="1:13" x14ac:dyDescent="0.25">
      <c r="A14" s="92" t="s">
        <v>185</v>
      </c>
      <c r="B14" s="92">
        <v>124</v>
      </c>
      <c r="C14" s="92"/>
      <c r="D14" s="92"/>
      <c r="E14" s="92"/>
      <c r="F14" s="92">
        <v>124</v>
      </c>
      <c r="G14" s="10">
        <f>H6*F14</f>
        <v>55.323076923076925</v>
      </c>
      <c r="H14" s="12"/>
      <c r="I14" s="77">
        <f>'one to one'!$O$3</f>
        <v>13.8</v>
      </c>
      <c r="J14" s="12">
        <v>1.1200000000000001</v>
      </c>
      <c r="K14" s="13">
        <f>G14*I14*J14*H7</f>
        <v>600.19580591715987</v>
      </c>
      <c r="L14" s="14">
        <v>0.5</v>
      </c>
      <c r="M14" s="15">
        <f t="shared" ref="M14" si="6">L14*K14</f>
        <v>300.09790295857994</v>
      </c>
    </row>
    <row r="15" spans="1:13" x14ac:dyDescent="0.25">
      <c r="A15" s="54" t="s">
        <v>18</v>
      </c>
      <c r="B15" s="54">
        <v>124</v>
      </c>
      <c r="C15" s="54"/>
      <c r="D15" s="54"/>
      <c r="E15" s="54"/>
      <c r="F15" s="54">
        <f>SUM(B15:D15)</f>
        <v>124</v>
      </c>
      <c r="G15" s="10">
        <f>H7*F15</f>
        <v>87.038461538461533</v>
      </c>
      <c r="H15" s="12"/>
      <c r="I15" s="12">
        <v>23.19</v>
      </c>
      <c r="J15" s="12">
        <v>1.1200000000000001</v>
      </c>
      <c r="K15" s="13">
        <f>G15*I15*J15*H7</f>
        <v>1586.7901579881659</v>
      </c>
      <c r="L15" s="14">
        <v>0.5</v>
      </c>
      <c r="M15" s="15">
        <f t="shared" si="2"/>
        <v>793.39507899408295</v>
      </c>
    </row>
    <row r="16" spans="1:13" x14ac:dyDescent="0.25">
      <c r="L16" s="1" t="s">
        <v>20</v>
      </c>
      <c r="M16" s="2">
        <f>SUM(M3:M15)</f>
        <v>154596.88696467454</v>
      </c>
    </row>
    <row r="17" spans="1:14" x14ac:dyDescent="0.25">
      <c r="L17" s="22" t="s">
        <v>21</v>
      </c>
      <c r="M17" s="23">
        <f>M16/347</f>
        <v>445.52416992701598</v>
      </c>
      <c r="N17" s="24" t="s">
        <v>142</v>
      </c>
    </row>
    <row r="18" spans="1:14" x14ac:dyDescent="0.25">
      <c r="I18" s="1"/>
      <c r="J18" s="1"/>
    </row>
    <row r="19" spans="1:14" x14ac:dyDescent="0.2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5"/>
      <c r="N19" s="21"/>
    </row>
    <row r="24" spans="1:14" x14ac:dyDescent="0.25">
      <c r="G24" t="s">
        <v>210</v>
      </c>
      <c r="H24">
        <v>1.4705882352941178E-2</v>
      </c>
      <c r="I24" t="s">
        <v>211</v>
      </c>
    </row>
    <row r="25" spans="1:14" x14ac:dyDescent="0.25">
      <c r="F25" t="s">
        <v>11</v>
      </c>
      <c r="G25">
        <v>22.85</v>
      </c>
      <c r="H25">
        <v>0.33602941176470597</v>
      </c>
      <c r="I25" s="60">
        <v>23.186029411764707</v>
      </c>
    </row>
    <row r="26" spans="1:14" x14ac:dyDescent="0.25">
      <c r="F26" t="s">
        <v>12</v>
      </c>
      <c r="G26">
        <v>36.61</v>
      </c>
      <c r="H26">
        <v>0.53838235294117653</v>
      </c>
      <c r="I26" s="60">
        <v>37.148382352941177</v>
      </c>
    </row>
    <row r="27" spans="1:14" x14ac:dyDescent="0.25">
      <c r="F27" t="s">
        <v>13</v>
      </c>
      <c r="G27">
        <v>31.38</v>
      </c>
      <c r="H27">
        <v>0.46147058823529413</v>
      </c>
      <c r="I27" s="60">
        <v>31.841470588235293</v>
      </c>
    </row>
    <row r="28" spans="1:14" x14ac:dyDescent="0.25">
      <c r="F28" t="s">
        <v>14</v>
      </c>
      <c r="G28">
        <v>23.53</v>
      </c>
      <c r="H28">
        <v>0.34602941176470592</v>
      </c>
      <c r="I28" s="60">
        <v>23.876029411764708</v>
      </c>
    </row>
    <row r="45" spans="1:1" x14ac:dyDescent="0.25">
      <c r="A45" t="s">
        <v>140</v>
      </c>
    </row>
  </sheetData>
  <mergeCells count="1">
    <mergeCell ref="A19:M19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topLeftCell="F13" workbookViewId="0">
      <selection activeCell="M30" sqref="M30"/>
    </sheetView>
  </sheetViews>
  <sheetFormatPr defaultRowHeight="15" x14ac:dyDescent="0.25"/>
  <cols>
    <col min="1" max="1" width="19.140625" customWidth="1"/>
    <col min="11" max="11" width="15.28515625" customWidth="1"/>
    <col min="12" max="12" width="12.140625" customWidth="1"/>
    <col min="13" max="13" width="14.7109375" customWidth="1"/>
    <col min="14" max="14" width="12.7109375" customWidth="1"/>
    <col min="15" max="15" width="6" bestFit="1" customWidth="1"/>
    <col min="16" max="16" width="7.85546875" customWidth="1"/>
    <col min="17" max="17" width="14.85546875" bestFit="1" customWidth="1"/>
    <col min="18" max="18" width="12.42578125" bestFit="1" customWidth="1"/>
  </cols>
  <sheetData>
    <row r="2" spans="1:18" ht="60.75" thickBot="1" x14ac:dyDescent="0.3">
      <c r="A2" s="66">
        <v>4.2361111111111106E-2</v>
      </c>
      <c r="B2" s="16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7" t="s">
        <v>19</v>
      </c>
      <c r="I2" s="17" t="s">
        <v>10</v>
      </c>
      <c r="J2" s="17" t="s">
        <v>27</v>
      </c>
      <c r="K2" s="17" t="s">
        <v>23</v>
      </c>
      <c r="L2" s="17" t="s">
        <v>22</v>
      </c>
      <c r="M2" s="17" t="s">
        <v>24</v>
      </c>
      <c r="N2" s="83" t="s">
        <v>159</v>
      </c>
      <c r="O2" s="84">
        <v>12.5</v>
      </c>
      <c r="P2" s="85"/>
      <c r="Q2" s="85"/>
    </row>
    <row r="3" spans="1:18" ht="30.75" thickBot="1" x14ac:dyDescent="0.3">
      <c r="A3" s="54" t="s">
        <v>6</v>
      </c>
      <c r="B3" s="54">
        <v>2</v>
      </c>
      <c r="C3" s="54">
        <v>8</v>
      </c>
      <c r="D3" s="54">
        <v>8</v>
      </c>
      <c r="E3" s="54">
        <v>18</v>
      </c>
      <c r="F3" s="54">
        <v>365</v>
      </c>
      <c r="G3" s="10">
        <f>+E3*F3</f>
        <v>6570</v>
      </c>
      <c r="H3" s="11">
        <f t="shared" ref="H3:H8" si="0">+G3/2080</f>
        <v>3.1586538461538463</v>
      </c>
      <c r="I3" s="77">
        <f>$O$3</f>
        <v>13.8</v>
      </c>
      <c r="J3" s="12">
        <v>1.2</v>
      </c>
      <c r="K3" s="13">
        <f t="shared" ref="K3:K8" si="1">G3*I3*J3</f>
        <v>108799.2</v>
      </c>
      <c r="L3" s="14">
        <v>1</v>
      </c>
      <c r="M3" s="88">
        <f t="shared" ref="M3:M11" si="2">L3*K3</f>
        <v>108799.2</v>
      </c>
      <c r="N3" s="89" t="s">
        <v>164</v>
      </c>
      <c r="O3" s="90">
        <v>13.8</v>
      </c>
      <c r="P3" s="86" t="s">
        <v>161</v>
      </c>
      <c r="Q3" s="87">
        <f>(O3-O2)/O2</f>
        <v>0.10400000000000005</v>
      </c>
    </row>
    <row r="4" spans="1:18" ht="45" x14ac:dyDescent="0.25">
      <c r="A4" s="54" t="s">
        <v>16</v>
      </c>
      <c r="B4" s="54">
        <v>8</v>
      </c>
      <c r="C4" s="54"/>
      <c r="D4" s="54"/>
      <c r="E4" s="54">
        <v>8</v>
      </c>
      <c r="F4" s="54">
        <v>116</v>
      </c>
      <c r="G4" s="10">
        <f>+E4*F4</f>
        <v>928</v>
      </c>
      <c r="H4" s="11">
        <f t="shared" si="0"/>
        <v>0.44615384615384618</v>
      </c>
      <c r="I4" s="77">
        <f>$O$3</f>
        <v>13.8</v>
      </c>
      <c r="J4" s="12">
        <v>1.2</v>
      </c>
      <c r="K4" s="13">
        <f t="shared" si="1"/>
        <v>15367.68</v>
      </c>
      <c r="L4" s="14">
        <v>1</v>
      </c>
      <c r="M4" s="15">
        <f t="shared" si="2"/>
        <v>15367.68</v>
      </c>
      <c r="N4" s="83" t="s">
        <v>160</v>
      </c>
      <c r="O4" s="85">
        <v>13.7</v>
      </c>
      <c r="P4" s="85"/>
      <c r="Q4" s="85"/>
    </row>
    <row r="5" spans="1:18" ht="15.75" thickBot="1" x14ac:dyDescent="0.3">
      <c r="A5" s="54" t="s">
        <v>11</v>
      </c>
      <c r="B5" s="54">
        <v>2</v>
      </c>
      <c r="C5" s="54"/>
      <c r="D5" s="54"/>
      <c r="E5" s="54">
        <v>2</v>
      </c>
      <c r="F5" s="54">
        <v>365</v>
      </c>
      <c r="G5" s="10">
        <f>+E5*F5</f>
        <v>730</v>
      </c>
      <c r="H5" s="11">
        <f t="shared" si="0"/>
        <v>0.35096153846153844</v>
      </c>
      <c r="I5" s="12">
        <v>23.19</v>
      </c>
      <c r="J5" s="12">
        <v>1.2</v>
      </c>
      <c r="K5" s="13">
        <f t="shared" si="1"/>
        <v>20314.439999999999</v>
      </c>
      <c r="L5" s="14">
        <v>1</v>
      </c>
      <c r="M5" s="15">
        <f t="shared" si="2"/>
        <v>20314.439999999999</v>
      </c>
    </row>
    <row r="6" spans="1:18" x14ac:dyDescent="0.25">
      <c r="A6" s="54" t="s">
        <v>12</v>
      </c>
      <c r="B6" s="54">
        <v>8</v>
      </c>
      <c r="C6" s="54"/>
      <c r="D6" s="54"/>
      <c r="E6" s="54"/>
      <c r="F6" s="54"/>
      <c r="G6" s="10">
        <v>2080</v>
      </c>
      <c r="H6" s="11">
        <f t="shared" si="0"/>
        <v>1</v>
      </c>
      <c r="I6" s="12">
        <v>37.15</v>
      </c>
      <c r="J6" s="12">
        <v>1.2</v>
      </c>
      <c r="K6" s="13">
        <f t="shared" si="1"/>
        <v>92726.399999999994</v>
      </c>
      <c r="L6" s="14">
        <f>1/12</f>
        <v>8.3333333333333329E-2</v>
      </c>
      <c r="M6" s="15">
        <f t="shared" si="2"/>
        <v>7727.1999999999989</v>
      </c>
      <c r="Q6" s="122">
        <v>13.6</v>
      </c>
      <c r="R6" s="123" t="s">
        <v>212</v>
      </c>
    </row>
    <row r="7" spans="1:18" x14ac:dyDescent="0.25">
      <c r="A7" s="54" t="s">
        <v>13</v>
      </c>
      <c r="B7" s="54">
        <v>8</v>
      </c>
      <c r="C7" s="54"/>
      <c r="D7" s="54"/>
      <c r="E7" s="54"/>
      <c r="F7" s="54"/>
      <c r="G7" s="10">
        <v>2080</v>
      </c>
      <c r="H7" s="11">
        <f t="shared" si="0"/>
        <v>1</v>
      </c>
      <c r="I7" s="77">
        <v>31.84</v>
      </c>
      <c r="J7" s="12">
        <v>1.2</v>
      </c>
      <c r="K7" s="13">
        <f t="shared" si="1"/>
        <v>79472.639999999999</v>
      </c>
      <c r="L7" s="14">
        <f>1/12</f>
        <v>8.3333333333333329E-2</v>
      </c>
      <c r="M7" s="15">
        <f t="shared" si="2"/>
        <v>6622.7199999999993</v>
      </c>
      <c r="Q7" s="124">
        <v>13.8</v>
      </c>
      <c r="R7" s="125" t="s">
        <v>213</v>
      </c>
    </row>
    <row r="8" spans="1:18" ht="15.75" thickBot="1" x14ac:dyDescent="0.3">
      <c r="A8" s="54" t="s">
        <v>14</v>
      </c>
      <c r="B8" s="54">
        <v>8</v>
      </c>
      <c r="C8" s="54"/>
      <c r="D8" s="54"/>
      <c r="E8" s="54"/>
      <c r="F8" s="54"/>
      <c r="G8" s="10">
        <v>2080</v>
      </c>
      <c r="H8" s="11">
        <f t="shared" si="0"/>
        <v>1</v>
      </c>
      <c r="I8" s="77">
        <v>23.88</v>
      </c>
      <c r="J8" s="12">
        <v>1.2</v>
      </c>
      <c r="K8" s="13">
        <f t="shared" si="1"/>
        <v>59604.479999999996</v>
      </c>
      <c r="L8" s="14">
        <f>1/12</f>
        <v>8.3333333333333329E-2</v>
      </c>
      <c r="M8" s="15">
        <f t="shared" si="2"/>
        <v>4967.0399999999991</v>
      </c>
      <c r="P8" s="76"/>
      <c r="Q8" s="126">
        <f>0.2/Q6</f>
        <v>1.4705882352941178E-2</v>
      </c>
      <c r="R8" s="127" t="s">
        <v>214</v>
      </c>
    </row>
    <row r="9" spans="1:18" x14ac:dyDescent="0.25">
      <c r="A9" s="54" t="s">
        <v>28</v>
      </c>
      <c r="B9" s="54">
        <v>124</v>
      </c>
      <c r="C9" s="54"/>
      <c r="D9" s="54"/>
      <c r="E9" s="54"/>
      <c r="F9" s="54">
        <f>SUM(B9:D9)</f>
        <v>124</v>
      </c>
      <c r="G9" s="10">
        <f>H3*F9</f>
        <v>391.67307692307696</v>
      </c>
      <c r="H9" s="12"/>
      <c r="I9" s="77">
        <f>$O$3</f>
        <v>13.8</v>
      </c>
      <c r="J9" s="12">
        <v>1.1200000000000001</v>
      </c>
      <c r="K9" s="13">
        <f>G9*I9*J9*H3</f>
        <v>19121.539872781068</v>
      </c>
      <c r="L9" s="14">
        <v>1</v>
      </c>
      <c r="M9" s="15">
        <f t="shared" si="2"/>
        <v>19121.539872781068</v>
      </c>
    </row>
    <row r="10" spans="1:18" x14ac:dyDescent="0.25">
      <c r="A10" s="54" t="s">
        <v>67</v>
      </c>
      <c r="B10" s="54">
        <v>124</v>
      </c>
      <c r="C10" s="54"/>
      <c r="D10" s="54"/>
      <c r="E10" s="54"/>
      <c r="F10" s="54">
        <f>SUM(B10:D10)</f>
        <v>124</v>
      </c>
      <c r="G10" s="10">
        <f t="shared" ref="G10:G11" si="3">H4*F10</f>
        <v>55.323076923076925</v>
      </c>
      <c r="H10" s="12"/>
      <c r="I10" s="77">
        <f>$O$3</f>
        <v>13.8</v>
      </c>
      <c r="J10" s="12">
        <v>1.1200000000000001</v>
      </c>
      <c r="K10" s="13">
        <f>G10*I10*J10*H4</f>
        <v>381.49432047337291</v>
      </c>
      <c r="L10" s="14">
        <v>1</v>
      </c>
      <c r="M10" s="15">
        <f t="shared" si="2"/>
        <v>381.49432047337291</v>
      </c>
      <c r="Q10" s="1"/>
    </row>
    <row r="11" spans="1:18" x14ac:dyDescent="0.25">
      <c r="A11" s="54" t="s">
        <v>18</v>
      </c>
      <c r="B11" s="54">
        <v>124</v>
      </c>
      <c r="C11" s="54"/>
      <c r="D11" s="54"/>
      <c r="E11" s="54"/>
      <c r="F11" s="54">
        <f>SUM(B11:D11)</f>
        <v>124</v>
      </c>
      <c r="G11" s="10">
        <f t="shared" si="3"/>
        <v>43.519230769230766</v>
      </c>
      <c r="H11" s="12"/>
      <c r="I11" s="12">
        <v>23.19</v>
      </c>
      <c r="J11" s="12">
        <v>1.1200000000000001</v>
      </c>
      <c r="K11" s="13">
        <f>G11*I11*J11*H5</f>
        <v>396.69753949704148</v>
      </c>
      <c r="L11" s="14">
        <v>1</v>
      </c>
      <c r="M11" s="15">
        <f t="shared" si="2"/>
        <v>396.69753949704148</v>
      </c>
    </row>
    <row r="12" spans="1:18" x14ac:dyDescent="0.25">
      <c r="L12" s="1" t="s">
        <v>20</v>
      </c>
      <c r="M12" s="2">
        <f>SUM(M3:M11)</f>
        <v>183698.01173275153</v>
      </c>
    </row>
    <row r="13" spans="1:18" x14ac:dyDescent="0.25">
      <c r="L13" s="22" t="s">
        <v>21</v>
      </c>
      <c r="M13" s="23">
        <f>M12/347</f>
        <v>529.3890828033185</v>
      </c>
    </row>
    <row r="14" spans="1:18" x14ac:dyDescent="0.25">
      <c r="A14" s="38"/>
      <c r="B14" s="3"/>
      <c r="C14" s="3"/>
      <c r="D14" s="3"/>
      <c r="E14" s="3"/>
      <c r="F14" s="3"/>
      <c r="G14" s="8"/>
      <c r="H14" s="8"/>
      <c r="I14" s="12"/>
      <c r="J14" s="12"/>
      <c r="K14" s="13"/>
      <c r="L14" s="54"/>
      <c r="M14" s="15"/>
      <c r="P14" t="s">
        <v>209</v>
      </c>
    </row>
    <row r="15" spans="1:18" x14ac:dyDescent="0.25">
      <c r="A15" s="18"/>
      <c r="B15" s="3"/>
      <c r="C15" s="8"/>
      <c r="D15" s="8"/>
      <c r="E15" s="8"/>
      <c r="F15" s="8"/>
      <c r="G15" s="8"/>
      <c r="H15" s="8"/>
      <c r="I15" s="12"/>
      <c r="J15" s="12"/>
      <c r="K15" s="13"/>
      <c r="L15" s="54"/>
      <c r="M15" s="15"/>
    </row>
    <row r="17" spans="1:20" ht="45.75" thickBot="1" x14ac:dyDescent="0.3">
      <c r="A17" s="66" t="s">
        <v>157</v>
      </c>
      <c r="B17" s="16" t="s">
        <v>3</v>
      </c>
      <c r="C17" s="17" t="s">
        <v>4</v>
      </c>
      <c r="D17" s="17" t="s">
        <v>5</v>
      </c>
      <c r="E17" s="17" t="s">
        <v>7</v>
      </c>
      <c r="F17" s="17" t="s">
        <v>8</v>
      </c>
      <c r="G17" s="17" t="s">
        <v>9</v>
      </c>
      <c r="H17" s="17" t="s">
        <v>19</v>
      </c>
      <c r="I17" s="17" t="s">
        <v>10</v>
      </c>
      <c r="J17" s="17" t="s">
        <v>27</v>
      </c>
      <c r="K17" s="17" t="s">
        <v>23</v>
      </c>
      <c r="L17" s="17" t="s">
        <v>22</v>
      </c>
      <c r="M17" s="17" t="s">
        <v>24</v>
      </c>
    </row>
    <row r="18" spans="1:20" x14ac:dyDescent="0.25">
      <c r="A18" s="65" t="s">
        <v>6</v>
      </c>
      <c r="B18" s="65">
        <v>2</v>
      </c>
      <c r="C18" s="65">
        <v>8</v>
      </c>
      <c r="D18" s="65"/>
      <c r="E18" s="65">
        <v>10</v>
      </c>
      <c r="F18" s="65">
        <v>365</v>
      </c>
      <c r="G18" s="10">
        <f>+E18*F18</f>
        <v>3650</v>
      </c>
      <c r="H18" s="11">
        <f t="shared" ref="H18:H24" si="4">+G18/2080</f>
        <v>1.7548076923076923</v>
      </c>
      <c r="I18" s="77">
        <f>$O$3</f>
        <v>13.8</v>
      </c>
      <c r="J18" s="12">
        <v>1.2</v>
      </c>
      <c r="K18" s="13">
        <f t="shared" ref="K18:K24" si="5">G18*I18*J18</f>
        <v>60444</v>
      </c>
      <c r="L18" s="14">
        <v>1</v>
      </c>
      <c r="M18" s="15">
        <f t="shared" ref="M18:M28" si="6">L18*K18</f>
        <v>60444</v>
      </c>
      <c r="Q18" s="131"/>
      <c r="R18" s="132" t="s">
        <v>210</v>
      </c>
      <c r="S18" s="133">
        <v>1.4705882352941178E-2</v>
      </c>
      <c r="T18" s="134" t="s">
        <v>211</v>
      </c>
    </row>
    <row r="19" spans="1:20" x14ac:dyDescent="0.25">
      <c r="A19" s="65" t="s">
        <v>16</v>
      </c>
      <c r="B19" s="65">
        <v>8</v>
      </c>
      <c r="C19" s="65"/>
      <c r="D19" s="65"/>
      <c r="E19" s="65">
        <v>8</v>
      </c>
      <c r="F19" s="65">
        <v>116</v>
      </c>
      <c r="G19" s="10">
        <f>+E19*F19</f>
        <v>928</v>
      </c>
      <c r="H19" s="11">
        <f t="shared" si="4"/>
        <v>0.44615384615384618</v>
      </c>
      <c r="I19" s="77">
        <f>$O$3</f>
        <v>13.8</v>
      </c>
      <c r="J19" s="12">
        <v>1.2</v>
      </c>
      <c r="K19" s="13">
        <f t="shared" si="5"/>
        <v>15367.68</v>
      </c>
      <c r="L19" s="14">
        <v>1</v>
      </c>
      <c r="M19" s="15">
        <f t="shared" si="6"/>
        <v>15367.68</v>
      </c>
      <c r="Q19" s="128" t="s">
        <v>11</v>
      </c>
      <c r="R19" s="12">
        <v>22.85</v>
      </c>
      <c r="S19" s="3">
        <f>R19*Q8</f>
        <v>0.33602941176470597</v>
      </c>
      <c r="T19" s="135">
        <f>S19+R19</f>
        <v>23.186029411764707</v>
      </c>
    </row>
    <row r="20" spans="1:20" x14ac:dyDescent="0.25">
      <c r="A20" s="65" t="s">
        <v>25</v>
      </c>
      <c r="B20" s="65"/>
      <c r="C20" s="65"/>
      <c r="D20" s="65">
        <v>8</v>
      </c>
      <c r="E20" s="65">
        <v>8</v>
      </c>
      <c r="F20" s="65">
        <v>365</v>
      </c>
      <c r="G20" s="10">
        <f>+E20*F20</f>
        <v>2920</v>
      </c>
      <c r="H20" s="11">
        <f t="shared" si="4"/>
        <v>1.4038461538461537</v>
      </c>
      <c r="I20" s="77">
        <v>10.5</v>
      </c>
      <c r="J20" s="12">
        <v>1.2</v>
      </c>
      <c r="K20" s="13">
        <f t="shared" si="5"/>
        <v>36792</v>
      </c>
      <c r="L20" s="14">
        <v>1</v>
      </c>
      <c r="M20" s="15">
        <f t="shared" si="6"/>
        <v>36792</v>
      </c>
      <c r="Q20" s="128" t="s">
        <v>12</v>
      </c>
      <c r="R20" s="12">
        <v>36.61</v>
      </c>
      <c r="S20" s="3">
        <f>R20*Q8</f>
        <v>0.53838235294117653</v>
      </c>
      <c r="T20" s="135">
        <f t="shared" ref="T20:T22" si="7">S20+R20</f>
        <v>37.148382352941177</v>
      </c>
    </row>
    <row r="21" spans="1:20" x14ac:dyDescent="0.25">
      <c r="A21" s="65" t="s">
        <v>11</v>
      </c>
      <c r="B21" s="65">
        <v>2</v>
      </c>
      <c r="C21" s="65"/>
      <c r="D21" s="65"/>
      <c r="E21" s="65">
        <v>2</v>
      </c>
      <c r="F21" s="65">
        <v>365</v>
      </c>
      <c r="G21" s="10">
        <f>+E21*F21</f>
        <v>730</v>
      </c>
      <c r="H21" s="11">
        <f t="shared" si="4"/>
        <v>0.35096153846153844</v>
      </c>
      <c r="I21" s="12">
        <v>23.19</v>
      </c>
      <c r="J21" s="12">
        <v>1.2</v>
      </c>
      <c r="K21" s="13">
        <f t="shared" si="5"/>
        <v>20314.439999999999</v>
      </c>
      <c r="L21" s="14">
        <v>1</v>
      </c>
      <c r="M21" s="15">
        <f t="shared" si="6"/>
        <v>20314.439999999999</v>
      </c>
      <c r="Q21" s="128" t="s">
        <v>13</v>
      </c>
      <c r="R21" s="77">
        <v>31.38</v>
      </c>
      <c r="S21" s="3">
        <f>R21*Q8</f>
        <v>0.46147058823529413</v>
      </c>
      <c r="T21" s="135">
        <f t="shared" si="7"/>
        <v>31.841470588235293</v>
      </c>
    </row>
    <row r="22" spans="1:20" ht="15.75" thickBot="1" x14ac:dyDescent="0.3">
      <c r="A22" s="65" t="s">
        <v>12</v>
      </c>
      <c r="B22" s="65">
        <v>8</v>
      </c>
      <c r="C22" s="65"/>
      <c r="D22" s="65"/>
      <c r="E22" s="65"/>
      <c r="F22" s="65"/>
      <c r="G22" s="10">
        <v>2080</v>
      </c>
      <c r="H22" s="11">
        <f t="shared" si="4"/>
        <v>1</v>
      </c>
      <c r="I22" s="12">
        <v>37.15</v>
      </c>
      <c r="J22" s="12">
        <v>1.2</v>
      </c>
      <c r="K22" s="13">
        <f t="shared" si="5"/>
        <v>92726.399999999994</v>
      </c>
      <c r="L22" s="14">
        <f>1/12</f>
        <v>8.3333333333333329E-2</v>
      </c>
      <c r="M22" s="15">
        <f t="shared" si="6"/>
        <v>7727.1999999999989</v>
      </c>
      <c r="Q22" s="129" t="s">
        <v>14</v>
      </c>
      <c r="R22" s="130">
        <v>23.53</v>
      </c>
      <c r="S22" s="136">
        <f>R22*Q8</f>
        <v>0.34602941176470592</v>
      </c>
      <c r="T22" s="137">
        <f t="shared" si="7"/>
        <v>23.876029411764708</v>
      </c>
    </row>
    <row r="23" spans="1:20" x14ac:dyDescent="0.25">
      <c r="A23" s="65" t="s">
        <v>13</v>
      </c>
      <c r="B23" s="65">
        <v>8</v>
      </c>
      <c r="C23" s="65"/>
      <c r="D23" s="65"/>
      <c r="E23" s="65"/>
      <c r="F23" s="65"/>
      <c r="G23" s="10">
        <v>2080</v>
      </c>
      <c r="H23" s="11">
        <f t="shared" si="4"/>
        <v>1</v>
      </c>
      <c r="I23" s="77">
        <v>31.84</v>
      </c>
      <c r="J23" s="12">
        <v>1.2</v>
      </c>
      <c r="K23" s="13">
        <f t="shared" si="5"/>
        <v>79472.639999999999</v>
      </c>
      <c r="L23" s="14">
        <f>1/12</f>
        <v>8.3333333333333329E-2</v>
      </c>
      <c r="M23" s="15">
        <f t="shared" si="6"/>
        <v>6622.7199999999993</v>
      </c>
    </row>
    <row r="24" spans="1:20" x14ac:dyDescent="0.25">
      <c r="A24" s="65" t="s">
        <v>14</v>
      </c>
      <c r="B24" s="65">
        <v>8</v>
      </c>
      <c r="C24" s="65"/>
      <c r="D24" s="65"/>
      <c r="E24" s="65"/>
      <c r="F24" s="65"/>
      <c r="G24" s="10">
        <v>2080</v>
      </c>
      <c r="H24" s="11">
        <f t="shared" si="4"/>
        <v>1</v>
      </c>
      <c r="I24" s="77">
        <v>23.53</v>
      </c>
      <c r="J24" s="12">
        <v>1.2</v>
      </c>
      <c r="K24" s="13">
        <f t="shared" si="5"/>
        <v>58730.879999999997</v>
      </c>
      <c r="L24" s="14">
        <f>1/12</f>
        <v>8.3333333333333329E-2</v>
      </c>
      <c r="M24" s="15">
        <f t="shared" si="6"/>
        <v>4894.24</v>
      </c>
    </row>
    <row r="25" spans="1:20" x14ac:dyDescent="0.25">
      <c r="A25" s="65" t="s">
        <v>28</v>
      </c>
      <c r="B25" s="65">
        <v>124</v>
      </c>
      <c r="C25" s="65"/>
      <c r="D25" s="65"/>
      <c r="E25" s="65"/>
      <c r="F25" s="65">
        <f>SUM(B25:D25)</f>
        <v>124</v>
      </c>
      <c r="G25" s="10">
        <f>H18*F25</f>
        <v>217.59615384615384</v>
      </c>
      <c r="H25" s="12"/>
      <c r="I25" s="77">
        <f>$O$3</f>
        <v>13.8</v>
      </c>
      <c r="J25" s="12">
        <v>1.1200000000000001</v>
      </c>
      <c r="K25" s="13">
        <f>G25*I25*J25*H18</f>
        <v>5901.7098372781074</v>
      </c>
      <c r="L25" s="14">
        <v>1</v>
      </c>
      <c r="M25" s="15">
        <f t="shared" si="6"/>
        <v>5901.7098372781074</v>
      </c>
    </row>
    <row r="26" spans="1:20" x14ac:dyDescent="0.25">
      <c r="A26" s="65" t="s">
        <v>67</v>
      </c>
      <c r="B26" s="65">
        <v>124</v>
      </c>
      <c r="C26" s="65"/>
      <c r="D26" s="65"/>
      <c r="E26" s="65"/>
      <c r="F26" s="65">
        <f>SUM(B26:D26)</f>
        <v>124</v>
      </c>
      <c r="G26" s="10">
        <f>H19*F26</f>
        <v>55.323076923076925</v>
      </c>
      <c r="H26" s="12"/>
      <c r="I26" s="77">
        <f>$O$3</f>
        <v>13.8</v>
      </c>
      <c r="J26" s="12">
        <v>1.1200000000000001</v>
      </c>
      <c r="K26" s="13">
        <f>G26*I26*J26*H19</f>
        <v>381.49432047337291</v>
      </c>
      <c r="L26" s="14">
        <v>1</v>
      </c>
      <c r="M26" s="15">
        <f t="shared" si="6"/>
        <v>381.49432047337291</v>
      </c>
    </row>
    <row r="27" spans="1:20" x14ac:dyDescent="0.25">
      <c r="A27" s="92" t="s">
        <v>192</v>
      </c>
      <c r="B27" s="92">
        <v>124</v>
      </c>
      <c r="C27" s="92"/>
      <c r="D27" s="92"/>
      <c r="E27" s="92"/>
      <c r="F27" s="92">
        <f>SUM(B27:D27)</f>
        <v>124</v>
      </c>
      <c r="G27" s="10">
        <f>H20*F27</f>
        <v>174.07692307692307</v>
      </c>
      <c r="H27" s="12"/>
      <c r="I27" s="77">
        <v>10.5</v>
      </c>
      <c r="J27" s="12">
        <v>1.1200000000000001</v>
      </c>
      <c r="K27" s="13">
        <f>G27*I27*J27*H20</f>
        <v>2873.876094674556</v>
      </c>
      <c r="L27" s="14">
        <v>1</v>
      </c>
      <c r="M27" s="15">
        <f t="shared" ref="M27" si="8">L27*K27</f>
        <v>2873.876094674556</v>
      </c>
    </row>
    <row r="28" spans="1:20" x14ac:dyDescent="0.25">
      <c r="A28" s="65" t="s">
        <v>18</v>
      </c>
      <c r="B28" s="65">
        <v>124</v>
      </c>
      <c r="C28" s="65"/>
      <c r="D28" s="65"/>
      <c r="E28" s="65"/>
      <c r="F28" s="65">
        <f>SUM(B28:D28)</f>
        <v>124</v>
      </c>
      <c r="G28" s="10">
        <f>H20*F28</f>
        <v>174.07692307692307</v>
      </c>
      <c r="H28" s="12"/>
      <c r="I28" s="12">
        <v>23.19</v>
      </c>
      <c r="J28" s="12">
        <v>1.1200000000000001</v>
      </c>
      <c r="K28" s="13">
        <f>G28*I28*J28*H21</f>
        <v>1586.7901579881659</v>
      </c>
      <c r="L28" s="14">
        <v>1</v>
      </c>
      <c r="M28" s="15">
        <f t="shared" si="6"/>
        <v>1586.7901579881659</v>
      </c>
    </row>
    <row r="29" spans="1:20" x14ac:dyDescent="0.25">
      <c r="L29" s="1" t="s">
        <v>20</v>
      </c>
      <c r="M29" s="2">
        <f>SUM(M18:M28)</f>
        <v>162906.15041041421</v>
      </c>
    </row>
    <row r="30" spans="1:20" x14ac:dyDescent="0.25">
      <c r="L30" s="22" t="s">
        <v>21</v>
      </c>
      <c r="M30" s="23">
        <f>M29/347</f>
        <v>469.47017409341271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31"/>
  <sheetViews>
    <sheetView zoomScale="85" zoomScaleNormal="85" workbookViewId="0">
      <selection activeCell="M18" sqref="M18"/>
    </sheetView>
  </sheetViews>
  <sheetFormatPr defaultColWidth="8.85546875" defaultRowHeight="15" x14ac:dyDescent="0.25"/>
  <cols>
    <col min="1" max="1" width="14.28515625" bestFit="1" customWidth="1"/>
    <col min="6" max="6" width="10.85546875" customWidth="1"/>
    <col min="7" max="7" width="9.42578125" bestFit="1" customWidth="1"/>
    <col min="8" max="8" width="9.42578125" customWidth="1"/>
    <col min="11" max="11" width="13.7109375" customWidth="1"/>
    <col min="12" max="12" width="10.7109375" customWidth="1"/>
    <col min="13" max="13" width="14.7109375" customWidth="1"/>
  </cols>
  <sheetData>
    <row r="2" spans="1:18" ht="30" x14ac:dyDescent="0.25">
      <c r="A2" s="9"/>
      <c r="B2" s="16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7" t="s">
        <v>19</v>
      </c>
      <c r="I2" s="17" t="s">
        <v>10</v>
      </c>
      <c r="J2" s="17" t="s">
        <v>30</v>
      </c>
      <c r="K2" s="17" t="s">
        <v>23</v>
      </c>
      <c r="L2" s="17" t="s">
        <v>22</v>
      </c>
      <c r="M2" s="17" t="s">
        <v>24</v>
      </c>
      <c r="P2" t="s">
        <v>210</v>
      </c>
      <c r="Q2">
        <v>1.4705882352941178E-2</v>
      </c>
      <c r="R2" t="s">
        <v>211</v>
      </c>
    </row>
    <row r="3" spans="1:18" x14ac:dyDescent="0.25">
      <c r="A3" s="9" t="s">
        <v>6</v>
      </c>
      <c r="B3" s="9">
        <v>2</v>
      </c>
      <c r="C3" s="9">
        <v>8</v>
      </c>
      <c r="D3" s="9">
        <v>8</v>
      </c>
      <c r="E3" s="9">
        <f>SUM(B3:D3)</f>
        <v>18</v>
      </c>
      <c r="F3" s="9">
        <v>365</v>
      </c>
      <c r="G3" s="10">
        <f>+E3*F3</f>
        <v>6570</v>
      </c>
      <c r="H3" s="11">
        <f t="shared" ref="H3:H10" si="0">+G3/2080</f>
        <v>3.1586538461538463</v>
      </c>
      <c r="I3" s="77">
        <f>'one to one'!$O$3</f>
        <v>13.8</v>
      </c>
      <c r="J3" s="12">
        <v>1.2</v>
      </c>
      <c r="K3" s="13">
        <f t="shared" ref="K3:K10" si="1">G3*I3*J3</f>
        <v>108799.2</v>
      </c>
      <c r="L3" s="14">
        <f>1/6</f>
        <v>0.16666666666666666</v>
      </c>
      <c r="M3" s="15">
        <f t="shared" ref="M3:M15" si="2">L3*K3</f>
        <v>18133.199999999997</v>
      </c>
      <c r="O3" t="s">
        <v>11</v>
      </c>
      <c r="P3">
        <v>22.85</v>
      </c>
      <c r="Q3">
        <v>0.33602941176470597</v>
      </c>
      <c r="R3" s="60">
        <v>23.186029411764707</v>
      </c>
    </row>
    <row r="4" spans="1:18" x14ac:dyDescent="0.25">
      <c r="A4" s="9" t="s">
        <v>16</v>
      </c>
      <c r="B4" s="9"/>
      <c r="C4" s="9">
        <v>8</v>
      </c>
      <c r="D4" s="9"/>
      <c r="E4" s="9">
        <f>SUM(B4:D4)</f>
        <v>8</v>
      </c>
      <c r="F4" s="9">
        <v>365</v>
      </c>
      <c r="G4" s="10">
        <f>+E4*F4</f>
        <v>2920</v>
      </c>
      <c r="H4" s="11">
        <f t="shared" si="0"/>
        <v>1.4038461538461537</v>
      </c>
      <c r="I4" s="77">
        <f>'one to one'!$O$3</f>
        <v>13.8</v>
      </c>
      <c r="J4" s="12">
        <v>1.2</v>
      </c>
      <c r="K4" s="13">
        <f t="shared" si="1"/>
        <v>48355.199999999997</v>
      </c>
      <c r="L4" s="14">
        <f>1/6</f>
        <v>0.16666666666666666</v>
      </c>
      <c r="M4" s="15">
        <f t="shared" si="2"/>
        <v>8059.1999999999989</v>
      </c>
      <c r="O4" t="s">
        <v>12</v>
      </c>
      <c r="P4">
        <v>36.61</v>
      </c>
      <c r="Q4">
        <v>0.53838235294117653</v>
      </c>
      <c r="R4" s="60">
        <v>37.148382352941177</v>
      </c>
    </row>
    <row r="5" spans="1:18" x14ac:dyDescent="0.25">
      <c r="A5" s="91" t="s">
        <v>25</v>
      </c>
      <c r="B5" s="91">
        <v>8</v>
      </c>
      <c r="C5" s="91"/>
      <c r="D5" s="91"/>
      <c r="E5" s="91">
        <v>8</v>
      </c>
      <c r="F5" s="91">
        <v>116</v>
      </c>
      <c r="G5" s="10">
        <f>+E5*F5</f>
        <v>928</v>
      </c>
      <c r="H5" s="11">
        <f t="shared" si="0"/>
        <v>0.44615384615384618</v>
      </c>
      <c r="I5" s="77">
        <v>13.88</v>
      </c>
      <c r="J5" s="12">
        <v>1.2</v>
      </c>
      <c r="K5" s="13">
        <f t="shared" si="1"/>
        <v>15456.768</v>
      </c>
      <c r="L5" s="14">
        <v>0.16666666666666666</v>
      </c>
      <c r="M5" s="15">
        <f t="shared" si="2"/>
        <v>2576.1279999999997</v>
      </c>
      <c r="O5" t="s">
        <v>13</v>
      </c>
      <c r="P5">
        <v>31.38</v>
      </c>
      <c r="Q5">
        <v>0.46147058823529413</v>
      </c>
      <c r="R5" s="60">
        <v>31.841470588235293</v>
      </c>
    </row>
    <row r="6" spans="1:18" x14ac:dyDescent="0.25">
      <c r="A6" s="92" t="s">
        <v>29</v>
      </c>
      <c r="B6" s="92">
        <v>8</v>
      </c>
      <c r="C6" s="92">
        <v>4</v>
      </c>
      <c r="D6" s="92"/>
      <c r="E6" s="92">
        <v>12</v>
      </c>
      <c r="F6" s="92">
        <v>116</v>
      </c>
      <c r="G6" s="10">
        <f>+E6*F6</f>
        <v>1392</v>
      </c>
      <c r="H6" s="11">
        <f t="shared" ref="H6" si="3">+G6/2080</f>
        <v>0.66923076923076918</v>
      </c>
      <c r="I6" s="77">
        <v>13.88</v>
      </c>
      <c r="J6" s="12">
        <v>1.2</v>
      </c>
      <c r="K6" s="13">
        <f t="shared" ref="K6" si="4">G6*I6*J6</f>
        <v>23185.152000000002</v>
      </c>
      <c r="L6" s="14">
        <v>0.16666666666666666</v>
      </c>
      <c r="M6" s="15">
        <f t="shared" ref="M6" si="5">L6*K6</f>
        <v>3864.192</v>
      </c>
      <c r="O6" t="s">
        <v>14</v>
      </c>
      <c r="P6">
        <v>23.53</v>
      </c>
      <c r="Q6">
        <v>0.34602941176470592</v>
      </c>
      <c r="R6" s="60">
        <v>23.876029411764708</v>
      </c>
    </row>
    <row r="7" spans="1:18" x14ac:dyDescent="0.25">
      <c r="A7" s="9" t="s">
        <v>11</v>
      </c>
      <c r="B7" s="36">
        <v>8</v>
      </c>
      <c r="C7" s="9"/>
      <c r="D7" s="9"/>
      <c r="E7" s="36">
        <f>SUM(B7:D7)</f>
        <v>8</v>
      </c>
      <c r="F7" s="9">
        <v>365</v>
      </c>
      <c r="G7" s="10">
        <f>+E7*F7</f>
        <v>2920</v>
      </c>
      <c r="H7" s="11">
        <f t="shared" si="0"/>
        <v>1.4038461538461537</v>
      </c>
      <c r="I7" s="12">
        <v>23.19</v>
      </c>
      <c r="J7" s="12">
        <v>1.2</v>
      </c>
      <c r="K7" s="13">
        <f t="shared" si="1"/>
        <v>81257.759999999995</v>
      </c>
      <c r="L7" s="14">
        <f>1/6</f>
        <v>0.16666666666666666</v>
      </c>
      <c r="M7" s="15">
        <f t="shared" si="2"/>
        <v>13542.96</v>
      </c>
    </row>
    <row r="8" spans="1:18" x14ac:dyDescent="0.25">
      <c r="A8" s="9" t="s">
        <v>12</v>
      </c>
      <c r="B8" s="9">
        <v>8</v>
      </c>
      <c r="C8" s="9"/>
      <c r="D8" s="9"/>
      <c r="E8" s="9"/>
      <c r="F8" s="9"/>
      <c r="G8" s="10">
        <v>2080</v>
      </c>
      <c r="H8" s="11">
        <f t="shared" si="0"/>
        <v>1</v>
      </c>
      <c r="I8" s="12">
        <v>37.15</v>
      </c>
      <c r="J8" s="12">
        <v>1.2</v>
      </c>
      <c r="K8" s="13">
        <f t="shared" si="1"/>
        <v>92726.399999999994</v>
      </c>
      <c r="L8" s="14">
        <f>1/12</f>
        <v>8.3333333333333329E-2</v>
      </c>
      <c r="M8" s="15">
        <f t="shared" si="2"/>
        <v>7727.1999999999989</v>
      </c>
    </row>
    <row r="9" spans="1:18" x14ac:dyDescent="0.25">
      <c r="A9" s="9" t="s">
        <v>13</v>
      </c>
      <c r="B9" s="9">
        <v>8</v>
      </c>
      <c r="C9" s="9"/>
      <c r="D9" s="9"/>
      <c r="E9" s="9"/>
      <c r="F9" s="9"/>
      <c r="G9" s="10">
        <v>2080</v>
      </c>
      <c r="H9" s="11">
        <f t="shared" si="0"/>
        <v>1</v>
      </c>
      <c r="I9" s="77">
        <v>31.84</v>
      </c>
      <c r="J9" s="12">
        <v>1.2</v>
      </c>
      <c r="K9" s="13">
        <f t="shared" si="1"/>
        <v>79472.639999999999</v>
      </c>
      <c r="L9" s="14">
        <f>1/12</f>
        <v>8.3333333333333329E-2</v>
      </c>
      <c r="M9" s="15">
        <f t="shared" si="2"/>
        <v>6622.7199999999993</v>
      </c>
    </row>
    <row r="10" spans="1:18" x14ac:dyDescent="0.25">
      <c r="A10" s="9" t="s">
        <v>14</v>
      </c>
      <c r="B10" s="9">
        <v>8</v>
      </c>
      <c r="C10" s="9"/>
      <c r="D10" s="9"/>
      <c r="E10" s="9"/>
      <c r="F10" s="9"/>
      <c r="G10" s="10">
        <v>2080</v>
      </c>
      <c r="H10" s="11">
        <f t="shared" si="0"/>
        <v>1</v>
      </c>
      <c r="I10" s="81">
        <v>23.88</v>
      </c>
      <c r="J10" s="12">
        <v>1.2</v>
      </c>
      <c r="K10" s="13">
        <f t="shared" si="1"/>
        <v>59604.479999999996</v>
      </c>
      <c r="L10" s="14">
        <f>1/12</f>
        <v>8.3333333333333329E-2</v>
      </c>
      <c r="M10" s="15">
        <f t="shared" si="2"/>
        <v>4967.0399999999991</v>
      </c>
    </row>
    <row r="11" spans="1:18" x14ac:dyDescent="0.25">
      <c r="A11" s="9" t="s">
        <v>43</v>
      </c>
      <c r="B11" s="9">
        <v>124</v>
      </c>
      <c r="C11" s="9"/>
      <c r="D11" s="9"/>
      <c r="E11" s="9"/>
      <c r="F11" s="9">
        <f>SUM(B11:D11)</f>
        <v>124</v>
      </c>
      <c r="G11" s="74">
        <f>H3*F11</f>
        <v>391.67307692307696</v>
      </c>
      <c r="H11" s="12"/>
      <c r="I11" s="77">
        <f>'one to one'!$O$3</f>
        <v>13.8</v>
      </c>
      <c r="J11" s="12">
        <v>1.1200000000000001</v>
      </c>
      <c r="K11" s="13">
        <f>G11*I11*J11*H3</f>
        <v>19121.539872781068</v>
      </c>
      <c r="L11" s="14">
        <f>1/6</f>
        <v>0.16666666666666666</v>
      </c>
      <c r="M11" s="15">
        <f t="shared" si="2"/>
        <v>3186.9233121301777</v>
      </c>
    </row>
    <row r="12" spans="1:18" x14ac:dyDescent="0.25">
      <c r="A12" s="9" t="s">
        <v>42</v>
      </c>
      <c r="B12" s="9">
        <v>124</v>
      </c>
      <c r="C12" s="9"/>
      <c r="D12" s="9"/>
      <c r="E12" s="9"/>
      <c r="F12" s="9">
        <f>SUM(B12:D12)</f>
        <v>124</v>
      </c>
      <c r="G12" s="74">
        <f>H4*F12</f>
        <v>174.07692307692307</v>
      </c>
      <c r="H12" s="12"/>
      <c r="I12" s="77">
        <f>'one to one'!$O$3</f>
        <v>13.8</v>
      </c>
      <c r="J12" s="12">
        <v>1.1200000000000001</v>
      </c>
      <c r="K12" s="13">
        <f>G12*I12*J12*H4</f>
        <v>3777.0942958579876</v>
      </c>
      <c r="L12" s="14">
        <f>1/6</f>
        <v>0.16666666666666666</v>
      </c>
      <c r="M12" s="15">
        <f t="shared" si="2"/>
        <v>629.51571597633119</v>
      </c>
    </row>
    <row r="13" spans="1:18" x14ac:dyDescent="0.25">
      <c r="A13" s="91" t="s">
        <v>45</v>
      </c>
      <c r="B13" s="91">
        <v>124</v>
      </c>
      <c r="C13" s="91"/>
      <c r="D13" s="91"/>
      <c r="E13" s="91"/>
      <c r="F13" s="91">
        <f>SUM(B13:D13)</f>
        <v>124</v>
      </c>
      <c r="G13" s="74">
        <f>H5*F13</f>
        <v>55.323076923076925</v>
      </c>
      <c r="H13" s="12"/>
      <c r="I13" s="77">
        <f>'one to one'!$O$3</f>
        <v>13.8</v>
      </c>
      <c r="J13" s="12">
        <v>1.1200000000000001</v>
      </c>
      <c r="K13" s="13">
        <f>G13*I13*J13*H5</f>
        <v>381.49432047337291</v>
      </c>
      <c r="L13" s="14">
        <f>1/6</f>
        <v>0.16666666666666666</v>
      </c>
      <c r="M13" s="15">
        <f t="shared" ref="M13" si="6">L13*K13</f>
        <v>63.582386745562147</v>
      </c>
    </row>
    <row r="14" spans="1:18" x14ac:dyDescent="0.25">
      <c r="A14" s="92" t="s">
        <v>169</v>
      </c>
      <c r="B14" s="92">
        <v>124</v>
      </c>
      <c r="C14" s="92"/>
      <c r="D14" s="92"/>
      <c r="E14" s="92"/>
      <c r="F14" s="92">
        <f>SUM(B14:D14)</f>
        <v>124</v>
      </c>
      <c r="G14" s="74">
        <f>H6*F14</f>
        <v>82.984615384615381</v>
      </c>
      <c r="H14" s="12"/>
      <c r="I14" s="77">
        <f>'one to one'!$O$3</f>
        <v>13.8</v>
      </c>
      <c r="J14" s="12">
        <v>1.1200000000000001</v>
      </c>
      <c r="K14" s="13">
        <f>G14*I14*J14*H6</f>
        <v>858.36222106508876</v>
      </c>
      <c r="L14" s="14">
        <f>1/6</f>
        <v>0.16666666666666666</v>
      </c>
      <c r="M14" s="15">
        <f t="shared" ref="M14" si="7">L14*K14</f>
        <v>143.06037017751478</v>
      </c>
    </row>
    <row r="15" spans="1:18" x14ac:dyDescent="0.25">
      <c r="A15" s="9" t="s">
        <v>44</v>
      </c>
      <c r="B15" s="9">
        <v>124</v>
      </c>
      <c r="C15" s="9"/>
      <c r="D15" s="9"/>
      <c r="E15" s="9"/>
      <c r="F15" s="9">
        <f>SUM(B15:D15)</f>
        <v>124</v>
      </c>
      <c r="G15" s="74">
        <f>H7*F15</f>
        <v>174.07692307692307</v>
      </c>
      <c r="H15" s="12"/>
      <c r="I15" s="12">
        <v>23.19</v>
      </c>
      <c r="J15" s="12">
        <v>1.1200000000000001</v>
      </c>
      <c r="K15" s="13">
        <f>G15*I15*J15*H7</f>
        <v>6347.1606319526636</v>
      </c>
      <c r="L15" s="14">
        <f>1/6</f>
        <v>0.16666666666666666</v>
      </c>
      <c r="M15" s="15">
        <f t="shared" si="2"/>
        <v>1057.8601053254438</v>
      </c>
    </row>
    <row r="16" spans="1:18" x14ac:dyDescent="0.25">
      <c r="I16" s="1"/>
      <c r="J16" s="1"/>
    </row>
    <row r="17" spans="1:13" x14ac:dyDescent="0.25">
      <c r="I17" s="1"/>
      <c r="L17" s="1" t="s">
        <v>20</v>
      </c>
      <c r="M17" s="2">
        <f>SUM(M3:M15)</f>
        <v>70573.58189035501</v>
      </c>
    </row>
    <row r="18" spans="1:13" x14ac:dyDescent="0.25">
      <c r="I18" s="1"/>
      <c r="L18" s="1" t="s">
        <v>21</v>
      </c>
      <c r="M18" s="2">
        <f>M17/347</f>
        <v>203.38208037566287</v>
      </c>
    </row>
    <row r="19" spans="1:13" x14ac:dyDescent="0.25">
      <c r="I19" s="1"/>
      <c r="L19" s="1"/>
      <c r="M19" s="2"/>
    </row>
    <row r="20" spans="1:13" x14ac:dyDescent="0.25">
      <c r="I20" s="1"/>
      <c r="J20" s="1"/>
    </row>
    <row r="21" spans="1:13" x14ac:dyDescent="0.2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x14ac:dyDescent="0.2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x14ac:dyDescent="0.2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x14ac:dyDescent="0.2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x14ac:dyDescent="0.2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x14ac:dyDescent="0.2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x14ac:dyDescent="0.2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x14ac:dyDescent="0.2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x14ac:dyDescent="0.25">
      <c r="A29" s="39"/>
      <c r="B29" s="39"/>
      <c r="C29" s="39"/>
      <c r="D29" s="39"/>
      <c r="E29" s="39"/>
      <c r="F29" s="39"/>
      <c r="G29" s="40"/>
      <c r="H29" s="40"/>
      <c r="I29" s="40"/>
      <c r="J29" s="40"/>
      <c r="K29" s="41"/>
      <c r="L29" s="42"/>
      <c r="M29" s="43"/>
    </row>
    <row r="30" spans="1:13" x14ac:dyDescent="0.25">
      <c r="A30" s="39"/>
      <c r="B30" s="39" t="s">
        <v>52</v>
      </c>
      <c r="C30" s="39"/>
      <c r="D30" s="39"/>
      <c r="E30" s="39"/>
      <c r="F30" s="39"/>
      <c r="G30" s="40"/>
      <c r="H30" s="40"/>
      <c r="I30" s="40"/>
      <c r="J30" s="40"/>
      <c r="K30" s="41"/>
      <c r="L30" s="42"/>
      <c r="M30" s="43"/>
    </row>
    <row r="31" spans="1:13" x14ac:dyDescent="0.25">
      <c r="A31" s="39"/>
      <c r="B31" s="39"/>
      <c r="C31" s="39"/>
      <c r="D31" s="39"/>
      <c r="E31" s="39"/>
      <c r="F31" s="39"/>
      <c r="G31" s="40"/>
      <c r="H31" s="40"/>
      <c r="I31" s="40"/>
      <c r="J31" s="40"/>
      <c r="K31" s="41"/>
      <c r="L31" s="42"/>
      <c r="M31" s="43"/>
    </row>
  </sheetData>
  <mergeCells count="1">
    <mergeCell ref="A21:M28"/>
  </mergeCells>
  <phoneticPr fontId="7" type="noConversion"/>
  <pageMargins left="0.7" right="0.7" top="0.75" bottom="0.75" header="0.3" footer="0.3"/>
  <pageSetup scale="89" orientation="landscape" r:id="rId1"/>
  <headerFooter>
    <oddHeader>&amp;C&amp;F // 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zoomScale="85" zoomScaleNormal="85" workbookViewId="0">
      <selection activeCell="M18" sqref="M18"/>
    </sheetView>
  </sheetViews>
  <sheetFormatPr defaultColWidth="8.85546875" defaultRowHeight="15" x14ac:dyDescent="0.25"/>
  <cols>
    <col min="1" max="1" width="20.28515625" customWidth="1"/>
    <col min="6" max="6" width="10.85546875" customWidth="1"/>
    <col min="7" max="7" width="9.42578125" bestFit="1" customWidth="1"/>
    <col min="8" max="8" width="9.42578125" customWidth="1"/>
    <col min="11" max="11" width="13.42578125" customWidth="1"/>
    <col min="12" max="12" width="10.7109375" customWidth="1"/>
    <col min="13" max="13" width="14.7109375" customWidth="1"/>
  </cols>
  <sheetData>
    <row r="2" spans="1:18" ht="30" x14ac:dyDescent="0.25">
      <c r="A2" s="9"/>
      <c r="B2" s="16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7" t="s">
        <v>19</v>
      </c>
      <c r="I2" s="17" t="s">
        <v>10</v>
      </c>
      <c r="J2" s="17" t="s">
        <v>27</v>
      </c>
      <c r="K2" s="17" t="s">
        <v>23</v>
      </c>
      <c r="L2" s="17" t="s">
        <v>22</v>
      </c>
      <c r="M2" s="17" t="s">
        <v>24</v>
      </c>
      <c r="P2" t="s">
        <v>210</v>
      </c>
      <c r="Q2">
        <v>1.4705882352941178E-2</v>
      </c>
      <c r="R2" t="s">
        <v>211</v>
      </c>
    </row>
    <row r="3" spans="1:18" x14ac:dyDescent="0.25">
      <c r="A3" s="9" t="s">
        <v>6</v>
      </c>
      <c r="B3" s="9">
        <v>3</v>
      </c>
      <c r="C3" s="9">
        <v>8</v>
      </c>
      <c r="D3" s="9">
        <v>8</v>
      </c>
      <c r="E3" s="9">
        <f>SUM(B3:D3)</f>
        <v>19</v>
      </c>
      <c r="F3" s="9">
        <v>365</v>
      </c>
      <c r="G3" s="19">
        <f>+E3*F3</f>
        <v>6935</v>
      </c>
      <c r="H3" s="11">
        <f t="shared" ref="H3:H10" si="0">+G3/2080</f>
        <v>3.3341346153846154</v>
      </c>
      <c r="I3" s="77">
        <f>'one to one'!$O$3</f>
        <v>13.8</v>
      </c>
      <c r="J3" s="12">
        <v>1.2</v>
      </c>
      <c r="K3" s="13">
        <f t="shared" ref="K3:K10" si="1">G3*I3*J3</f>
        <v>114843.59999999999</v>
      </c>
      <c r="L3" s="14">
        <v>0.25</v>
      </c>
      <c r="M3" s="15">
        <f>L3*K3</f>
        <v>28710.899999999998</v>
      </c>
      <c r="O3" t="s">
        <v>11</v>
      </c>
      <c r="P3">
        <v>22.85</v>
      </c>
      <c r="Q3">
        <v>0.33602941176470597</v>
      </c>
      <c r="R3" s="60">
        <v>23.186029411764707</v>
      </c>
    </row>
    <row r="4" spans="1:18" x14ac:dyDescent="0.25">
      <c r="A4" s="9" t="s">
        <v>16</v>
      </c>
      <c r="B4" s="9"/>
      <c r="C4" s="9">
        <v>8</v>
      </c>
      <c r="D4" s="9">
        <v>0</v>
      </c>
      <c r="E4" s="9">
        <f>SUM(B4:D4)</f>
        <v>8</v>
      </c>
      <c r="F4" s="9">
        <v>365</v>
      </c>
      <c r="G4" s="19">
        <f>+E4*F4</f>
        <v>2920</v>
      </c>
      <c r="H4" s="11">
        <f t="shared" si="0"/>
        <v>1.4038461538461537</v>
      </c>
      <c r="I4" s="77">
        <f>'one to one'!$O$3</f>
        <v>13.8</v>
      </c>
      <c r="J4" s="12">
        <v>1.2</v>
      </c>
      <c r="K4" s="13">
        <f t="shared" si="1"/>
        <v>48355.199999999997</v>
      </c>
      <c r="L4" s="14">
        <v>0.25</v>
      </c>
      <c r="M4" s="15">
        <f t="shared" ref="M4:M15" si="2">L4*K4</f>
        <v>12088.8</v>
      </c>
      <c r="O4" t="s">
        <v>12</v>
      </c>
      <c r="P4">
        <v>36.61</v>
      </c>
      <c r="Q4">
        <v>0.53838235294117653</v>
      </c>
      <c r="R4" s="60">
        <v>37.148382352941177</v>
      </c>
    </row>
    <row r="5" spans="1:18" x14ac:dyDescent="0.25">
      <c r="A5" s="91" t="s">
        <v>25</v>
      </c>
      <c r="B5" s="91">
        <v>8</v>
      </c>
      <c r="C5" s="91"/>
      <c r="D5" s="91"/>
      <c r="E5" s="91">
        <v>8</v>
      </c>
      <c r="F5" s="91">
        <v>116</v>
      </c>
      <c r="G5" s="19">
        <f>+E5*F5</f>
        <v>928</v>
      </c>
      <c r="H5" s="11">
        <f t="shared" ref="H5" si="3">+G5/2080</f>
        <v>0.44615384615384618</v>
      </c>
      <c r="I5" s="77">
        <f>'one to one'!$O$3</f>
        <v>13.8</v>
      </c>
      <c r="J5" s="12">
        <v>1.2</v>
      </c>
      <c r="K5" s="13">
        <f t="shared" ref="K5" si="4">G5*I5*J5</f>
        <v>15367.68</v>
      </c>
      <c r="L5" s="14">
        <v>0.25</v>
      </c>
      <c r="M5" s="15">
        <f t="shared" ref="M5" si="5">L5*K5</f>
        <v>3841.92</v>
      </c>
      <c r="O5" t="s">
        <v>13</v>
      </c>
      <c r="P5">
        <v>31.38</v>
      </c>
      <c r="Q5">
        <v>0.46147058823529413</v>
      </c>
      <c r="R5" s="60">
        <v>31.841470588235293</v>
      </c>
    </row>
    <row r="6" spans="1:18" x14ac:dyDescent="0.25">
      <c r="A6" s="92" t="s">
        <v>29</v>
      </c>
      <c r="B6" s="92">
        <v>8</v>
      </c>
      <c r="C6" s="92"/>
      <c r="D6" s="92"/>
      <c r="E6" s="92">
        <v>8</v>
      </c>
      <c r="F6" s="92">
        <v>116</v>
      </c>
      <c r="G6" s="19">
        <f>+E6*F6</f>
        <v>928</v>
      </c>
      <c r="H6" s="11">
        <f t="shared" ref="H6" si="6">+G6/2080</f>
        <v>0.44615384615384618</v>
      </c>
      <c r="I6" s="77">
        <f>'one to one'!$O$3</f>
        <v>13.8</v>
      </c>
      <c r="J6" s="12">
        <v>1.2</v>
      </c>
      <c r="K6" s="13">
        <f t="shared" ref="K6" si="7">G6*I6*J6</f>
        <v>15367.68</v>
      </c>
      <c r="L6" s="14">
        <v>0.25</v>
      </c>
      <c r="M6" s="15">
        <f t="shared" ref="M6" si="8">L6*K6</f>
        <v>3841.92</v>
      </c>
      <c r="O6" t="s">
        <v>14</v>
      </c>
      <c r="P6">
        <v>23.53</v>
      </c>
      <c r="Q6">
        <v>0.34602941176470592</v>
      </c>
      <c r="R6" s="60">
        <v>23.876029411764708</v>
      </c>
    </row>
    <row r="7" spans="1:18" x14ac:dyDescent="0.25">
      <c r="A7" s="9" t="s">
        <v>11</v>
      </c>
      <c r="B7" s="9">
        <v>8</v>
      </c>
      <c r="C7" s="9"/>
      <c r="D7" s="9"/>
      <c r="E7" s="9">
        <v>8</v>
      </c>
      <c r="F7" s="9">
        <v>365</v>
      </c>
      <c r="G7" s="19">
        <f>+E7*F7</f>
        <v>2920</v>
      </c>
      <c r="H7" s="11">
        <f t="shared" si="0"/>
        <v>1.4038461538461537</v>
      </c>
      <c r="I7" s="12">
        <v>23.19</v>
      </c>
      <c r="J7" s="12">
        <v>1.2</v>
      </c>
      <c r="K7" s="13">
        <f t="shared" si="1"/>
        <v>81257.759999999995</v>
      </c>
      <c r="L7" s="14">
        <f>1/4</f>
        <v>0.25</v>
      </c>
      <c r="M7" s="15">
        <f t="shared" si="2"/>
        <v>20314.439999999999</v>
      </c>
    </row>
    <row r="8" spans="1:18" x14ac:dyDescent="0.25">
      <c r="A8" s="9" t="s">
        <v>12</v>
      </c>
      <c r="B8" s="9">
        <v>8</v>
      </c>
      <c r="C8" s="9"/>
      <c r="D8" s="9"/>
      <c r="E8" s="9"/>
      <c r="F8" s="9"/>
      <c r="G8" s="19">
        <v>2080</v>
      </c>
      <c r="H8" s="11">
        <f t="shared" si="0"/>
        <v>1</v>
      </c>
      <c r="I8" s="12">
        <v>37.15</v>
      </c>
      <c r="J8" s="12">
        <v>1.2</v>
      </c>
      <c r="K8" s="13">
        <f t="shared" si="1"/>
        <v>92726.399999999994</v>
      </c>
      <c r="L8" s="14">
        <f>1/12</f>
        <v>8.3333333333333329E-2</v>
      </c>
      <c r="M8" s="15">
        <f t="shared" si="2"/>
        <v>7727.1999999999989</v>
      </c>
    </row>
    <row r="9" spans="1:18" x14ac:dyDescent="0.25">
      <c r="A9" s="9" t="s">
        <v>13</v>
      </c>
      <c r="B9" s="9">
        <v>8</v>
      </c>
      <c r="C9" s="9"/>
      <c r="D9" s="9"/>
      <c r="E9" s="9"/>
      <c r="F9" s="9"/>
      <c r="G9" s="19">
        <v>2080</v>
      </c>
      <c r="H9" s="11">
        <f t="shared" si="0"/>
        <v>1</v>
      </c>
      <c r="I9" s="77">
        <v>31.84</v>
      </c>
      <c r="J9" s="12">
        <v>1.2</v>
      </c>
      <c r="K9" s="13">
        <f t="shared" si="1"/>
        <v>79472.639999999999</v>
      </c>
      <c r="L9" s="14">
        <f>1/12</f>
        <v>8.3333333333333329E-2</v>
      </c>
      <c r="M9" s="15">
        <f t="shared" si="2"/>
        <v>6622.7199999999993</v>
      </c>
    </row>
    <row r="10" spans="1:18" x14ac:dyDescent="0.25">
      <c r="A10" s="9" t="s">
        <v>14</v>
      </c>
      <c r="B10" s="9">
        <v>8</v>
      </c>
      <c r="C10" s="9"/>
      <c r="D10" s="9"/>
      <c r="E10" s="9"/>
      <c r="F10" s="9"/>
      <c r="G10" s="19">
        <v>2080</v>
      </c>
      <c r="H10" s="11">
        <f t="shared" si="0"/>
        <v>1</v>
      </c>
      <c r="I10" s="77">
        <v>23.88</v>
      </c>
      <c r="J10" s="12">
        <v>1.2</v>
      </c>
      <c r="K10" s="13">
        <f t="shared" si="1"/>
        <v>59604.479999999996</v>
      </c>
      <c r="L10" s="14">
        <f>1/12</f>
        <v>8.3333333333333329E-2</v>
      </c>
      <c r="M10" s="15">
        <f t="shared" si="2"/>
        <v>4967.0399999999991</v>
      </c>
    </row>
    <row r="11" spans="1:18" x14ac:dyDescent="0.25">
      <c r="A11" s="9" t="s">
        <v>43</v>
      </c>
      <c r="B11" s="9">
        <v>124</v>
      </c>
      <c r="C11" s="9"/>
      <c r="D11" s="9"/>
      <c r="E11" s="9"/>
      <c r="F11" s="9">
        <f>SUM(B11:D11)</f>
        <v>124</v>
      </c>
      <c r="G11" s="74">
        <f>H3*F11</f>
        <v>413.43269230769232</v>
      </c>
      <c r="H11" s="12"/>
      <c r="I11" s="77">
        <f>'one to one'!$O$3</f>
        <v>13.8</v>
      </c>
      <c r="J11" s="12">
        <v>1.1200000000000001</v>
      </c>
      <c r="K11" s="13">
        <f>G11*I11*J11*H3</f>
        <v>21305.172512573969</v>
      </c>
      <c r="L11" s="14">
        <f>1/4</f>
        <v>0.25</v>
      </c>
      <c r="M11" s="15">
        <f t="shared" si="2"/>
        <v>5326.2931281434921</v>
      </c>
    </row>
    <row r="12" spans="1:18" x14ac:dyDescent="0.25">
      <c r="A12" s="9" t="s">
        <v>42</v>
      </c>
      <c r="B12" s="9">
        <v>124</v>
      </c>
      <c r="C12" s="9"/>
      <c r="D12" s="9"/>
      <c r="E12" s="9"/>
      <c r="F12" s="9">
        <f>SUM(B12:D12)</f>
        <v>124</v>
      </c>
      <c r="G12" s="74">
        <f>H4*F12</f>
        <v>174.07692307692307</v>
      </c>
      <c r="H12" s="12"/>
      <c r="I12" s="77">
        <f>'one to one'!$O$3</f>
        <v>13.8</v>
      </c>
      <c r="J12" s="12">
        <v>1.1200000000000001</v>
      </c>
      <c r="K12" s="13">
        <f>G12*I12*J12*H4</f>
        <v>3777.0942958579876</v>
      </c>
      <c r="L12" s="14">
        <f>1/4</f>
        <v>0.25</v>
      </c>
      <c r="M12" s="15">
        <f t="shared" si="2"/>
        <v>944.2735739644969</v>
      </c>
    </row>
    <row r="13" spans="1:18" x14ac:dyDescent="0.25">
      <c r="A13" s="91" t="s">
        <v>45</v>
      </c>
      <c r="B13" s="91">
        <v>124</v>
      </c>
      <c r="C13" s="91"/>
      <c r="D13" s="91"/>
      <c r="E13" s="91"/>
      <c r="F13" s="91">
        <f>SUM(B13:D13)</f>
        <v>124</v>
      </c>
      <c r="G13" s="74">
        <f>H5*F13</f>
        <v>55.323076923076925</v>
      </c>
      <c r="H13" s="12"/>
      <c r="I13" s="77">
        <f>'one to one'!$O$3</f>
        <v>13.8</v>
      </c>
      <c r="J13" s="12">
        <v>1.1200000000000001</v>
      </c>
      <c r="K13" s="13">
        <f>G13*I13*J13*H5</f>
        <v>381.49432047337291</v>
      </c>
      <c r="L13" s="14">
        <f>1/4</f>
        <v>0.25</v>
      </c>
      <c r="M13" s="15">
        <f t="shared" ref="M13" si="9">L13*K13</f>
        <v>95.373580118343227</v>
      </c>
    </row>
    <row r="14" spans="1:18" x14ac:dyDescent="0.25">
      <c r="A14" s="92" t="s">
        <v>169</v>
      </c>
      <c r="B14" s="92">
        <v>124</v>
      </c>
      <c r="C14" s="92"/>
      <c r="D14" s="92"/>
      <c r="E14" s="92"/>
      <c r="F14" s="92">
        <f>SUM(B14:D14)</f>
        <v>124</v>
      </c>
      <c r="G14" s="74">
        <f>H6*F14</f>
        <v>55.323076923076925</v>
      </c>
      <c r="H14" s="12"/>
      <c r="I14" s="77">
        <f>'one to one'!$O$3</f>
        <v>13.8</v>
      </c>
      <c r="J14" s="12">
        <v>1.1200000000000001</v>
      </c>
      <c r="K14" s="13">
        <f>G14*I14*J14*H6</f>
        <v>381.49432047337291</v>
      </c>
      <c r="L14" s="14">
        <f>1/4</f>
        <v>0.25</v>
      </c>
      <c r="M14" s="15">
        <f t="shared" ref="M14" si="10">L14*K14</f>
        <v>95.373580118343227</v>
      </c>
    </row>
    <row r="15" spans="1:18" x14ac:dyDescent="0.25">
      <c r="A15" s="9" t="s">
        <v>44</v>
      </c>
      <c r="B15" s="9">
        <v>124</v>
      </c>
      <c r="C15" s="9"/>
      <c r="D15" s="9"/>
      <c r="E15" s="9"/>
      <c r="F15" s="9">
        <f>SUM(B15:D15)</f>
        <v>124</v>
      </c>
      <c r="G15" s="74">
        <f>H7*F15</f>
        <v>174.07692307692307</v>
      </c>
      <c r="H15" s="12"/>
      <c r="I15" s="12">
        <v>23.19</v>
      </c>
      <c r="J15" s="12">
        <v>1.1200000000000001</v>
      </c>
      <c r="K15" s="13">
        <f>G15*I15*J15*H7</f>
        <v>6347.1606319526636</v>
      </c>
      <c r="L15" s="14">
        <f>1/4</f>
        <v>0.25</v>
      </c>
      <c r="M15" s="15">
        <f t="shared" si="2"/>
        <v>1586.7901579881659</v>
      </c>
    </row>
    <row r="16" spans="1:18" x14ac:dyDescent="0.25">
      <c r="I16" s="1"/>
      <c r="J16" s="1"/>
    </row>
    <row r="17" spans="1:13" x14ac:dyDescent="0.25">
      <c r="I17" s="1"/>
      <c r="L17" s="1" t="s">
        <v>20</v>
      </c>
      <c r="M17" s="2">
        <f>SUM(M3:M16)</f>
        <v>96163.044020332847</v>
      </c>
    </row>
    <row r="18" spans="1:13" x14ac:dyDescent="0.25">
      <c r="I18" s="1"/>
      <c r="L18" s="1" t="s">
        <v>21</v>
      </c>
      <c r="M18" s="2">
        <f>M17/347</f>
        <v>277.12692801248659</v>
      </c>
    </row>
    <row r="19" spans="1:13" x14ac:dyDescent="0.25">
      <c r="I19" s="1"/>
      <c r="L19" s="1"/>
      <c r="M19" s="2"/>
    </row>
    <row r="20" spans="1:13" x14ac:dyDescent="0.25">
      <c r="I20" s="79"/>
      <c r="J20" s="1"/>
    </row>
    <row r="21" spans="1:13" x14ac:dyDescent="0.2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x14ac:dyDescent="0.2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x14ac:dyDescent="0.2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x14ac:dyDescent="0.2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x14ac:dyDescent="0.2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x14ac:dyDescent="0.2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x14ac:dyDescent="0.2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x14ac:dyDescent="0.2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x14ac:dyDescent="0.25">
      <c r="A29" s="20"/>
    </row>
    <row r="30" spans="1:13" x14ac:dyDescent="0.25">
      <c r="A30" t="s">
        <v>51</v>
      </c>
    </row>
  </sheetData>
  <mergeCells count="1">
    <mergeCell ref="A21:M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7"/>
  <sheetViews>
    <sheetView zoomScale="85" zoomScaleNormal="85" workbookViewId="0">
      <selection activeCell="M18" sqref="M18"/>
    </sheetView>
  </sheetViews>
  <sheetFormatPr defaultColWidth="8.85546875" defaultRowHeight="15" x14ac:dyDescent="0.25"/>
  <cols>
    <col min="1" max="1" width="14.28515625" bestFit="1" customWidth="1"/>
    <col min="6" max="6" width="10.85546875" customWidth="1"/>
    <col min="7" max="7" width="9.42578125" bestFit="1" customWidth="1"/>
    <col min="8" max="8" width="9.42578125" customWidth="1"/>
    <col min="11" max="11" width="13.42578125" customWidth="1"/>
    <col min="12" max="12" width="10.7109375" customWidth="1"/>
    <col min="13" max="13" width="14.7109375" customWidth="1"/>
  </cols>
  <sheetData>
    <row r="2" spans="1:18" ht="30" x14ac:dyDescent="0.25">
      <c r="A2" s="9"/>
      <c r="B2" s="16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7" t="s">
        <v>19</v>
      </c>
      <c r="I2" s="17" t="s">
        <v>10</v>
      </c>
      <c r="J2" s="17" t="s">
        <v>30</v>
      </c>
      <c r="K2" s="17" t="s">
        <v>23</v>
      </c>
      <c r="L2" s="17" t="s">
        <v>22</v>
      </c>
      <c r="M2" s="17" t="s">
        <v>24</v>
      </c>
      <c r="P2" t="s">
        <v>210</v>
      </c>
      <c r="Q2">
        <v>1.4705882352941178E-2</v>
      </c>
      <c r="R2" t="s">
        <v>211</v>
      </c>
    </row>
    <row r="3" spans="1:18" x14ac:dyDescent="0.25">
      <c r="A3" s="9" t="s">
        <v>6</v>
      </c>
      <c r="B3" s="9">
        <v>4</v>
      </c>
      <c r="C3" s="9">
        <v>8</v>
      </c>
      <c r="D3" s="9">
        <v>8</v>
      </c>
      <c r="E3" s="9">
        <f>SUM(B3:D3)</f>
        <v>20</v>
      </c>
      <c r="F3" s="9">
        <v>365</v>
      </c>
      <c r="G3" s="10">
        <f>+E3*F3</f>
        <v>7300</v>
      </c>
      <c r="H3" s="11">
        <f t="shared" ref="H3:H10" si="0">+G3/2080</f>
        <v>3.5096153846153846</v>
      </c>
      <c r="I3" s="77">
        <f>'one to one'!$O$3</f>
        <v>13.8</v>
      </c>
      <c r="J3" s="12">
        <v>1.2</v>
      </c>
      <c r="K3" s="13">
        <f>G3*I3*J3</f>
        <v>120888</v>
      </c>
      <c r="L3" s="14">
        <f>1/6</f>
        <v>0.16666666666666666</v>
      </c>
      <c r="M3" s="15">
        <f>L3*K3</f>
        <v>20148</v>
      </c>
      <c r="O3" t="s">
        <v>11</v>
      </c>
      <c r="P3">
        <v>22.85</v>
      </c>
      <c r="Q3">
        <v>0.33602941176470597</v>
      </c>
      <c r="R3" s="60">
        <v>23.186029411764707</v>
      </c>
    </row>
    <row r="4" spans="1:18" x14ac:dyDescent="0.25">
      <c r="A4" s="9" t="s">
        <v>16</v>
      </c>
      <c r="B4" s="9"/>
      <c r="C4" s="9">
        <v>8</v>
      </c>
      <c r="D4" s="9">
        <v>8</v>
      </c>
      <c r="E4" s="9">
        <f>SUM(B4:D4)</f>
        <v>16</v>
      </c>
      <c r="F4" s="9">
        <v>365</v>
      </c>
      <c r="G4" s="10">
        <f>+E4*F4</f>
        <v>5840</v>
      </c>
      <c r="H4" s="11">
        <f t="shared" si="0"/>
        <v>2.8076923076923075</v>
      </c>
      <c r="I4" s="77">
        <f>'one to one'!$O$3</f>
        <v>13.8</v>
      </c>
      <c r="J4" s="12">
        <v>1.2</v>
      </c>
      <c r="K4" s="13">
        <f t="shared" ref="K4:K10" si="1">G4*I4*J4</f>
        <v>96710.399999999994</v>
      </c>
      <c r="L4" s="14">
        <f>1/6</f>
        <v>0.16666666666666666</v>
      </c>
      <c r="M4" s="15">
        <f t="shared" ref="M4:M15" si="2">L4*K4</f>
        <v>16118.399999999998</v>
      </c>
      <c r="O4" t="s">
        <v>12</v>
      </c>
      <c r="P4">
        <v>36.61</v>
      </c>
      <c r="Q4">
        <v>0.53838235294117653</v>
      </c>
      <c r="R4" s="60">
        <v>37.148382352941177</v>
      </c>
    </row>
    <row r="5" spans="1:18" x14ac:dyDescent="0.25">
      <c r="A5" s="9" t="s">
        <v>25</v>
      </c>
      <c r="B5" s="9">
        <v>8</v>
      </c>
      <c r="C5" s="9">
        <v>4</v>
      </c>
      <c r="D5" s="9">
        <v>0</v>
      </c>
      <c r="E5" s="9">
        <v>12</v>
      </c>
      <c r="F5" s="9">
        <v>116</v>
      </c>
      <c r="G5" s="10">
        <f>+E5*F5</f>
        <v>1392</v>
      </c>
      <c r="H5" s="11">
        <f t="shared" ref="H5" si="3">+G5/2080</f>
        <v>0.66923076923076918</v>
      </c>
      <c r="I5" s="77">
        <f>'one to one'!$O$3</f>
        <v>13.8</v>
      </c>
      <c r="J5" s="12">
        <v>1.2</v>
      </c>
      <c r="K5" s="13">
        <f t="shared" ref="K5" si="4">G5*I5*J5</f>
        <v>23051.52</v>
      </c>
      <c r="L5" s="14">
        <f>1/6</f>
        <v>0.16666666666666666</v>
      </c>
      <c r="M5" s="15">
        <f t="shared" ref="M5" si="5">L5*K5</f>
        <v>3841.92</v>
      </c>
      <c r="O5" t="s">
        <v>13</v>
      </c>
      <c r="P5">
        <v>31.38</v>
      </c>
      <c r="Q5">
        <v>0.46147058823529413</v>
      </c>
      <c r="R5" s="60">
        <v>31.841470588235293</v>
      </c>
    </row>
    <row r="6" spans="1:18" x14ac:dyDescent="0.25">
      <c r="A6" s="92" t="s">
        <v>29</v>
      </c>
      <c r="B6" s="92">
        <v>8</v>
      </c>
      <c r="C6" s="92"/>
      <c r="D6" s="92">
        <v>0</v>
      </c>
      <c r="E6" s="92">
        <v>8</v>
      </c>
      <c r="F6" s="92">
        <v>116</v>
      </c>
      <c r="G6" s="10">
        <f>+E6*F6</f>
        <v>928</v>
      </c>
      <c r="H6" s="11">
        <f t="shared" ref="H6" si="6">+G6/2080</f>
        <v>0.44615384615384618</v>
      </c>
      <c r="I6" s="77">
        <f>'one to one'!$O$3</f>
        <v>13.8</v>
      </c>
      <c r="J6" s="12">
        <v>1.2</v>
      </c>
      <c r="K6" s="13">
        <f t="shared" ref="K6" si="7">G6*I6*J6</f>
        <v>15367.68</v>
      </c>
      <c r="L6" s="14">
        <f>1/6</f>
        <v>0.16666666666666666</v>
      </c>
      <c r="M6" s="15">
        <f t="shared" ref="M6" si="8">L6*K6</f>
        <v>2561.2799999999997</v>
      </c>
      <c r="O6" t="s">
        <v>14</v>
      </c>
      <c r="P6">
        <v>23.53</v>
      </c>
      <c r="Q6">
        <v>0.34602941176470592</v>
      </c>
      <c r="R6" s="60">
        <v>23.876029411764708</v>
      </c>
    </row>
    <row r="7" spans="1:18" x14ac:dyDescent="0.25">
      <c r="A7" s="9" t="s">
        <v>11</v>
      </c>
      <c r="B7" s="36">
        <f>72/7</f>
        <v>10.285714285714286</v>
      </c>
      <c r="C7" s="9"/>
      <c r="D7" s="9"/>
      <c r="E7" s="36">
        <f>SUM(B7:D7)</f>
        <v>10.285714285714286</v>
      </c>
      <c r="F7" s="9">
        <v>365</v>
      </c>
      <c r="G7" s="10">
        <f>+E7*F7</f>
        <v>3754.2857142857147</v>
      </c>
      <c r="H7" s="11">
        <f t="shared" si="0"/>
        <v>1.8049450549450552</v>
      </c>
      <c r="I7" s="12">
        <v>23.19</v>
      </c>
      <c r="J7" s="12">
        <v>1.2</v>
      </c>
      <c r="K7" s="13">
        <f t="shared" si="1"/>
        <v>104474.26285714288</v>
      </c>
      <c r="L7" s="14">
        <f>1/6</f>
        <v>0.16666666666666666</v>
      </c>
      <c r="M7" s="15">
        <f t="shared" si="2"/>
        <v>17412.377142857145</v>
      </c>
    </row>
    <row r="8" spans="1:18" x14ac:dyDescent="0.25">
      <c r="A8" s="9" t="s">
        <v>12</v>
      </c>
      <c r="B8" s="9">
        <v>8</v>
      </c>
      <c r="C8" s="9"/>
      <c r="D8" s="9"/>
      <c r="E8" s="9"/>
      <c r="F8" s="9"/>
      <c r="G8" s="10">
        <v>2080</v>
      </c>
      <c r="H8" s="11">
        <f t="shared" si="0"/>
        <v>1</v>
      </c>
      <c r="I8" s="12">
        <v>37.15</v>
      </c>
      <c r="J8" s="12">
        <v>1.2</v>
      </c>
      <c r="K8" s="13">
        <f t="shared" si="1"/>
        <v>92726.399999999994</v>
      </c>
      <c r="L8" s="14">
        <f>1/12</f>
        <v>8.3333333333333329E-2</v>
      </c>
      <c r="M8" s="15">
        <f t="shared" si="2"/>
        <v>7727.1999999999989</v>
      </c>
    </row>
    <row r="9" spans="1:18" x14ac:dyDescent="0.25">
      <c r="A9" s="9" t="s">
        <v>13</v>
      </c>
      <c r="B9" s="9">
        <v>8</v>
      </c>
      <c r="C9" s="9"/>
      <c r="D9" s="9"/>
      <c r="E9" s="9"/>
      <c r="F9" s="9"/>
      <c r="G9" s="10">
        <v>2080</v>
      </c>
      <c r="H9" s="11">
        <f t="shared" si="0"/>
        <v>1</v>
      </c>
      <c r="I9" s="77">
        <v>31.84</v>
      </c>
      <c r="J9" s="12">
        <v>1.2</v>
      </c>
      <c r="K9" s="13">
        <f t="shared" si="1"/>
        <v>79472.639999999999</v>
      </c>
      <c r="L9" s="14">
        <f>1/12</f>
        <v>8.3333333333333329E-2</v>
      </c>
      <c r="M9" s="15">
        <f t="shared" si="2"/>
        <v>6622.7199999999993</v>
      </c>
    </row>
    <row r="10" spans="1:18" x14ac:dyDescent="0.25">
      <c r="A10" s="9" t="s">
        <v>14</v>
      </c>
      <c r="B10" s="9">
        <v>8</v>
      </c>
      <c r="C10" s="9"/>
      <c r="D10" s="9"/>
      <c r="E10" s="9"/>
      <c r="F10" s="9"/>
      <c r="G10" s="10">
        <v>2080</v>
      </c>
      <c r="H10" s="11">
        <f t="shared" si="0"/>
        <v>1</v>
      </c>
      <c r="I10" s="77">
        <v>23.88</v>
      </c>
      <c r="J10" s="12">
        <v>1.2</v>
      </c>
      <c r="K10" s="13">
        <f t="shared" si="1"/>
        <v>59604.479999999996</v>
      </c>
      <c r="L10" s="14">
        <f>1/12</f>
        <v>8.3333333333333329E-2</v>
      </c>
      <c r="M10" s="15">
        <f t="shared" si="2"/>
        <v>4967.0399999999991</v>
      </c>
    </row>
    <row r="11" spans="1:18" x14ac:dyDescent="0.25">
      <c r="A11" s="9" t="s">
        <v>43</v>
      </c>
      <c r="B11" s="9">
        <v>124</v>
      </c>
      <c r="C11" s="9"/>
      <c r="D11" s="9"/>
      <c r="E11" s="9"/>
      <c r="F11" s="9">
        <f>SUM(B11:D11)</f>
        <v>124</v>
      </c>
      <c r="G11" s="74">
        <f>H3*F11</f>
        <v>435.19230769230768</v>
      </c>
      <c r="H11" s="12"/>
      <c r="I11" s="77">
        <f>'one to one'!$O$3</f>
        <v>13.8</v>
      </c>
      <c r="J11" s="12">
        <v>1.1200000000000001</v>
      </c>
      <c r="K11" s="13">
        <f>G11*I11*J11*H3</f>
        <v>23606.83934911243</v>
      </c>
      <c r="L11" s="14">
        <f>1/6</f>
        <v>0.16666666666666666</v>
      </c>
      <c r="M11" s="15">
        <f t="shared" si="2"/>
        <v>3934.4732248520713</v>
      </c>
    </row>
    <row r="12" spans="1:18" x14ac:dyDescent="0.25">
      <c r="A12" s="9" t="s">
        <v>42</v>
      </c>
      <c r="B12" s="9">
        <v>124</v>
      </c>
      <c r="C12" s="9"/>
      <c r="D12" s="9"/>
      <c r="E12" s="9"/>
      <c r="F12" s="9">
        <f>SUM(B12:D12)</f>
        <v>124</v>
      </c>
      <c r="G12" s="74">
        <f>H4*F12</f>
        <v>348.15384615384613</v>
      </c>
      <c r="H12" s="12"/>
      <c r="I12" s="77">
        <f>'one to one'!$O$3</f>
        <v>13.8</v>
      </c>
      <c r="J12" s="12">
        <v>1.1200000000000001</v>
      </c>
      <c r="K12" s="13">
        <f>G12*I12*J12*H4</f>
        <v>15108.37718343195</v>
      </c>
      <c r="L12" s="14">
        <f>1/6</f>
        <v>0.16666666666666666</v>
      </c>
      <c r="M12" s="15">
        <f t="shared" si="2"/>
        <v>2518.0628639053248</v>
      </c>
    </row>
    <row r="13" spans="1:18" x14ac:dyDescent="0.25">
      <c r="A13" s="92" t="s">
        <v>45</v>
      </c>
      <c r="B13" s="92">
        <v>124</v>
      </c>
      <c r="C13" s="92"/>
      <c r="D13" s="92"/>
      <c r="E13" s="92"/>
      <c r="F13" s="92">
        <f>SUM(B13:D13)</f>
        <v>124</v>
      </c>
      <c r="G13" s="74">
        <f>H4*F13</f>
        <v>348.15384615384613</v>
      </c>
      <c r="H13" s="12"/>
      <c r="I13" s="77">
        <f>'one to one'!$O$3</f>
        <v>13.8</v>
      </c>
      <c r="J13" s="12">
        <v>1.1200000000000001</v>
      </c>
      <c r="K13" s="13">
        <f>G13*I13*J13*H4</f>
        <v>15108.37718343195</v>
      </c>
      <c r="L13" s="14">
        <f>1/6</f>
        <v>0.16666666666666666</v>
      </c>
      <c r="M13" s="15">
        <f>L13*K13</f>
        <v>2518.0628639053248</v>
      </c>
    </row>
    <row r="14" spans="1:18" x14ac:dyDescent="0.25">
      <c r="A14" s="9" t="s">
        <v>169</v>
      </c>
      <c r="B14" s="9">
        <v>124</v>
      </c>
      <c r="C14" s="9"/>
      <c r="D14" s="9"/>
      <c r="E14" s="9"/>
      <c r="F14" s="9">
        <f>SUM(B14:D14)</f>
        <v>124</v>
      </c>
      <c r="G14" s="74">
        <f>H5*F14</f>
        <v>82.984615384615381</v>
      </c>
      <c r="H14" s="12"/>
      <c r="I14" s="77">
        <f>'one to one'!$O$3</f>
        <v>13.8</v>
      </c>
      <c r="J14" s="12">
        <v>1.1200000000000001</v>
      </c>
      <c r="K14" s="13">
        <f>G14*I14*J14*H5</f>
        <v>858.36222106508876</v>
      </c>
      <c r="L14" s="14">
        <f>1/6</f>
        <v>0.16666666666666666</v>
      </c>
      <c r="M14" s="15">
        <f>L14*K14</f>
        <v>143.06037017751478</v>
      </c>
    </row>
    <row r="15" spans="1:18" x14ac:dyDescent="0.25">
      <c r="A15" s="9" t="s">
        <v>44</v>
      </c>
      <c r="B15" s="9">
        <v>124</v>
      </c>
      <c r="C15" s="9"/>
      <c r="D15" s="9"/>
      <c r="E15" s="9"/>
      <c r="F15" s="9">
        <f>SUM(B15:D15)</f>
        <v>124</v>
      </c>
      <c r="G15" s="74">
        <f>H7*F15</f>
        <v>223.81318681318683</v>
      </c>
      <c r="H15" s="12"/>
      <c r="I15" s="12">
        <v>23.19</v>
      </c>
      <c r="J15" s="12">
        <v>1.1200000000000001</v>
      </c>
      <c r="K15" s="13">
        <f>G15*I15*J15*H7</f>
        <v>10492.245126289099</v>
      </c>
      <c r="L15" s="14">
        <f>1/6</f>
        <v>0.16666666666666666</v>
      </c>
      <c r="M15" s="15">
        <f t="shared" si="2"/>
        <v>1748.707521048183</v>
      </c>
    </row>
    <row r="16" spans="1:18" x14ac:dyDescent="0.25">
      <c r="I16" s="1"/>
      <c r="J16" s="1"/>
    </row>
    <row r="17" spans="1:13" x14ac:dyDescent="0.25">
      <c r="I17" s="1"/>
      <c r="L17" s="1" t="s">
        <v>20</v>
      </c>
      <c r="M17" s="2">
        <f>SUM(M3:M15)</f>
        <v>90261.303986745566</v>
      </c>
    </row>
    <row r="18" spans="1:13" x14ac:dyDescent="0.25">
      <c r="I18" s="1"/>
      <c r="L18" s="1" t="s">
        <v>21</v>
      </c>
      <c r="M18" s="2">
        <f>M17/347</f>
        <v>260.11903166209095</v>
      </c>
    </row>
    <row r="19" spans="1:13" x14ac:dyDescent="0.25">
      <c r="A19" t="s">
        <v>170</v>
      </c>
      <c r="I19" s="1"/>
      <c r="L19" s="1"/>
      <c r="M19" s="2"/>
    </row>
    <row r="20" spans="1:13" x14ac:dyDescent="0.2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x14ac:dyDescent="0.25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x14ac:dyDescent="0.2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x14ac:dyDescent="0.2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x14ac:dyDescent="0.2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x14ac:dyDescent="0.2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x14ac:dyDescent="0.2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x14ac:dyDescent="0.2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</row>
  </sheetData>
  <mergeCells count="1">
    <mergeCell ref="A20:M27"/>
  </mergeCells>
  <phoneticPr fontId="7" type="noConversion"/>
  <pageMargins left="0.7" right="0.7" top="0.75" bottom="0.75" header="0.3" footer="0.3"/>
  <pageSetup scale="89" orientation="landscape"/>
  <headerFooter>
    <oddHeader>&amp;C&amp;F //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1"/>
  <sheetViews>
    <sheetView zoomScale="85" zoomScaleNormal="85" workbookViewId="0">
      <selection activeCell="M18" sqref="M18"/>
    </sheetView>
  </sheetViews>
  <sheetFormatPr defaultColWidth="8.85546875" defaultRowHeight="15" x14ac:dyDescent="0.25"/>
  <cols>
    <col min="1" max="1" width="17.28515625" customWidth="1"/>
    <col min="6" max="6" width="10.85546875" customWidth="1"/>
    <col min="7" max="7" width="9.42578125" bestFit="1" customWidth="1"/>
    <col min="8" max="8" width="9.42578125" customWidth="1"/>
    <col min="11" max="11" width="14.42578125" customWidth="1"/>
    <col min="12" max="12" width="10.7109375" customWidth="1"/>
    <col min="13" max="13" width="14.7109375" customWidth="1"/>
  </cols>
  <sheetData>
    <row r="2" spans="1:18" ht="30" x14ac:dyDescent="0.25">
      <c r="A2" s="9"/>
      <c r="B2" s="16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7" t="s">
        <v>19</v>
      </c>
      <c r="I2" s="17" t="s">
        <v>10</v>
      </c>
      <c r="J2" s="17" t="s">
        <v>27</v>
      </c>
      <c r="K2" s="17" t="s">
        <v>23</v>
      </c>
      <c r="L2" s="17" t="s">
        <v>22</v>
      </c>
      <c r="M2" s="17" t="s">
        <v>24</v>
      </c>
    </row>
    <row r="3" spans="1:18" x14ac:dyDescent="0.25">
      <c r="A3" s="9" t="s">
        <v>6</v>
      </c>
      <c r="B3" s="9">
        <v>4</v>
      </c>
      <c r="C3" s="9">
        <v>8</v>
      </c>
      <c r="D3" s="9">
        <v>8</v>
      </c>
      <c r="E3" s="9">
        <f>SUM(B3:D3)</f>
        <v>20</v>
      </c>
      <c r="F3" s="9">
        <v>365</v>
      </c>
      <c r="G3" s="10">
        <f>+E3*F3</f>
        <v>7300</v>
      </c>
      <c r="H3" s="11">
        <f t="shared" ref="H3:H10" si="0">+G3/2080</f>
        <v>3.5096153846153846</v>
      </c>
      <c r="I3" s="77">
        <f>'one to one'!$O$3</f>
        <v>13.8</v>
      </c>
      <c r="J3" s="12">
        <v>1.2</v>
      </c>
      <c r="K3" s="13">
        <f>G3*I3*J3</f>
        <v>120888</v>
      </c>
      <c r="L3" s="14">
        <f>1/4</f>
        <v>0.25</v>
      </c>
      <c r="M3" s="15">
        <f t="shared" ref="M3:M15" si="1">L3*K3</f>
        <v>30222</v>
      </c>
      <c r="P3" t="s">
        <v>210</v>
      </c>
      <c r="Q3">
        <v>1.4705882352941178E-2</v>
      </c>
      <c r="R3" t="s">
        <v>211</v>
      </c>
    </row>
    <row r="4" spans="1:18" x14ac:dyDescent="0.25">
      <c r="A4" s="9" t="s">
        <v>16</v>
      </c>
      <c r="B4" s="9"/>
      <c r="C4" s="9">
        <v>8</v>
      </c>
      <c r="D4" s="9">
        <v>8</v>
      </c>
      <c r="E4" s="9">
        <f>SUM(B4:D4)</f>
        <v>16</v>
      </c>
      <c r="F4" s="9">
        <v>365</v>
      </c>
      <c r="G4" s="10">
        <f>+E4*F4</f>
        <v>5840</v>
      </c>
      <c r="H4" s="11">
        <f t="shared" si="0"/>
        <v>2.8076923076923075</v>
      </c>
      <c r="I4" s="77">
        <f>'one to one'!$O$3</f>
        <v>13.8</v>
      </c>
      <c r="J4" s="12">
        <v>1.2</v>
      </c>
      <c r="K4" s="13">
        <f t="shared" ref="K4:K10" si="2">G4*I4*J4</f>
        <v>96710.399999999994</v>
      </c>
      <c r="L4" s="14">
        <f>1/4</f>
        <v>0.25</v>
      </c>
      <c r="M4" s="15">
        <f t="shared" si="1"/>
        <v>24177.599999999999</v>
      </c>
      <c r="O4" t="s">
        <v>11</v>
      </c>
      <c r="P4">
        <v>22.85</v>
      </c>
      <c r="Q4">
        <v>0.33602941176470597</v>
      </c>
      <c r="R4" s="60">
        <v>23.186029411764707</v>
      </c>
    </row>
    <row r="5" spans="1:18" x14ac:dyDescent="0.25">
      <c r="A5" s="92" t="s">
        <v>25</v>
      </c>
      <c r="B5" s="92">
        <v>8</v>
      </c>
      <c r="C5" s="92"/>
      <c r="D5" s="92"/>
      <c r="E5" s="92">
        <v>8</v>
      </c>
      <c r="F5" s="92">
        <v>116</v>
      </c>
      <c r="G5" s="10">
        <f>+E5*F5</f>
        <v>928</v>
      </c>
      <c r="H5" s="11">
        <f t="shared" ref="H5" si="3">+G5/2080</f>
        <v>0.44615384615384618</v>
      </c>
      <c r="I5" s="77">
        <f>'one to one'!$O$3</f>
        <v>13.8</v>
      </c>
      <c r="J5" s="12">
        <v>1.2</v>
      </c>
      <c r="K5" s="13">
        <f t="shared" ref="K5" si="4">G5*I5*J5</f>
        <v>15367.68</v>
      </c>
      <c r="L5" s="14">
        <f>1/4</f>
        <v>0.25</v>
      </c>
      <c r="M5" s="15">
        <f t="shared" ref="M5" si="5">L5*K5</f>
        <v>3841.92</v>
      </c>
      <c r="O5" t="s">
        <v>12</v>
      </c>
      <c r="P5">
        <v>36.61</v>
      </c>
      <c r="Q5">
        <v>0.53838235294117653</v>
      </c>
      <c r="R5" s="60">
        <v>37.148382352941177</v>
      </c>
    </row>
    <row r="6" spans="1:18" x14ac:dyDescent="0.25">
      <c r="A6" s="92" t="s">
        <v>25</v>
      </c>
      <c r="B6" s="92">
        <v>8</v>
      </c>
      <c r="C6" s="92"/>
      <c r="D6" s="92"/>
      <c r="E6" s="92">
        <v>8</v>
      </c>
      <c r="F6" s="92">
        <v>116</v>
      </c>
      <c r="G6" s="10">
        <f>+E6*F6</f>
        <v>928</v>
      </c>
      <c r="H6" s="11">
        <f t="shared" ref="H6" si="6">+G6/2080</f>
        <v>0.44615384615384618</v>
      </c>
      <c r="I6" s="77">
        <f>'one to one'!$O$3</f>
        <v>13.8</v>
      </c>
      <c r="J6" s="12">
        <v>1.2</v>
      </c>
      <c r="K6" s="13">
        <f t="shared" ref="K6" si="7">G6*I6*J6</f>
        <v>15367.68</v>
      </c>
      <c r="L6" s="14">
        <f>1/4</f>
        <v>0.25</v>
      </c>
      <c r="M6" s="15">
        <f t="shared" ref="M6" si="8">L6*K6</f>
        <v>3841.92</v>
      </c>
      <c r="O6" t="s">
        <v>13</v>
      </c>
      <c r="P6">
        <v>31.38</v>
      </c>
      <c r="Q6">
        <v>0.46147058823529413</v>
      </c>
      <c r="R6" s="60">
        <v>31.841470588235293</v>
      </c>
    </row>
    <row r="7" spans="1:18" x14ac:dyDescent="0.25">
      <c r="A7" s="9" t="s">
        <v>11</v>
      </c>
      <c r="B7" s="9">
        <v>8</v>
      </c>
      <c r="C7" s="9"/>
      <c r="D7" s="9"/>
      <c r="E7" s="9">
        <v>8</v>
      </c>
      <c r="F7" s="9">
        <v>365</v>
      </c>
      <c r="G7" s="10">
        <f>+E7*F7</f>
        <v>2920</v>
      </c>
      <c r="H7" s="11">
        <f t="shared" si="0"/>
        <v>1.4038461538461537</v>
      </c>
      <c r="I7" s="12">
        <v>23.19</v>
      </c>
      <c r="J7" s="12">
        <v>1.2</v>
      </c>
      <c r="K7" s="13">
        <f t="shared" si="2"/>
        <v>81257.759999999995</v>
      </c>
      <c r="L7" s="14">
        <f>1/4</f>
        <v>0.25</v>
      </c>
      <c r="M7" s="15">
        <f t="shared" si="1"/>
        <v>20314.439999999999</v>
      </c>
      <c r="O7" t="s">
        <v>14</v>
      </c>
      <c r="P7">
        <v>23.53</v>
      </c>
      <c r="Q7">
        <v>0.34602941176470592</v>
      </c>
      <c r="R7" s="60">
        <v>23.876029411764708</v>
      </c>
    </row>
    <row r="8" spans="1:18" x14ac:dyDescent="0.25">
      <c r="A8" s="9" t="s">
        <v>12</v>
      </c>
      <c r="B8" s="9">
        <v>8</v>
      </c>
      <c r="C8" s="9"/>
      <c r="D8" s="9"/>
      <c r="E8" s="9"/>
      <c r="F8" s="9"/>
      <c r="G8" s="10">
        <v>2080</v>
      </c>
      <c r="H8" s="11">
        <f t="shared" si="0"/>
        <v>1</v>
      </c>
      <c r="I8" s="12">
        <v>37.15</v>
      </c>
      <c r="J8" s="12">
        <v>1.2</v>
      </c>
      <c r="K8" s="13">
        <f>G8*I8*J8</f>
        <v>92726.399999999994</v>
      </c>
      <c r="L8" s="14">
        <f>1/12</f>
        <v>8.3333333333333329E-2</v>
      </c>
      <c r="M8" s="15">
        <f t="shared" si="1"/>
        <v>7727.1999999999989</v>
      </c>
    </row>
    <row r="9" spans="1:18" x14ac:dyDescent="0.25">
      <c r="A9" s="9" t="s">
        <v>13</v>
      </c>
      <c r="B9" s="9">
        <v>8</v>
      </c>
      <c r="C9" s="9"/>
      <c r="D9" s="9"/>
      <c r="E9" s="9"/>
      <c r="F9" s="9"/>
      <c r="G9" s="10">
        <v>2080</v>
      </c>
      <c r="H9" s="11">
        <f t="shared" si="0"/>
        <v>1</v>
      </c>
      <c r="I9" s="77">
        <v>31.84</v>
      </c>
      <c r="J9" s="12">
        <v>1.2</v>
      </c>
      <c r="K9" s="13">
        <f t="shared" si="2"/>
        <v>79472.639999999999</v>
      </c>
      <c r="L9" s="14">
        <f>1/12</f>
        <v>8.3333333333333329E-2</v>
      </c>
      <c r="M9" s="15">
        <f t="shared" si="1"/>
        <v>6622.7199999999993</v>
      </c>
    </row>
    <row r="10" spans="1:18" x14ac:dyDescent="0.25">
      <c r="A10" s="9" t="s">
        <v>14</v>
      </c>
      <c r="B10" s="9">
        <v>8</v>
      </c>
      <c r="C10" s="9"/>
      <c r="D10" s="9"/>
      <c r="E10" s="9"/>
      <c r="F10" s="9"/>
      <c r="G10" s="10">
        <v>2080</v>
      </c>
      <c r="H10" s="11">
        <f t="shared" si="0"/>
        <v>1</v>
      </c>
      <c r="I10" s="77">
        <v>23.88</v>
      </c>
      <c r="J10" s="12">
        <v>1.2</v>
      </c>
      <c r="K10" s="13">
        <f t="shared" si="2"/>
        <v>59604.479999999996</v>
      </c>
      <c r="L10" s="14">
        <f>1/12</f>
        <v>8.3333333333333329E-2</v>
      </c>
      <c r="M10" s="15">
        <f t="shared" si="1"/>
        <v>4967.0399999999991</v>
      </c>
    </row>
    <row r="11" spans="1:18" x14ac:dyDescent="0.25">
      <c r="A11" s="9" t="s">
        <v>43</v>
      </c>
      <c r="B11" s="9">
        <v>124</v>
      </c>
      <c r="C11" s="9"/>
      <c r="D11" s="9"/>
      <c r="E11" s="9"/>
      <c r="F11" s="9">
        <f>SUM(B11:D11)</f>
        <v>124</v>
      </c>
      <c r="G11" s="74">
        <f>H3*F11</f>
        <v>435.19230769230768</v>
      </c>
      <c r="H11" s="12"/>
      <c r="I11" s="77">
        <f>'one to one'!$O$3</f>
        <v>13.8</v>
      </c>
      <c r="J11" s="12">
        <v>1.1200000000000001</v>
      </c>
      <c r="K11" s="13">
        <f>G11*I11*J11*H3</f>
        <v>23606.83934911243</v>
      </c>
      <c r="L11" s="14">
        <f>1/4</f>
        <v>0.25</v>
      </c>
      <c r="M11" s="15">
        <f t="shared" si="1"/>
        <v>5901.7098372781074</v>
      </c>
    </row>
    <row r="12" spans="1:18" x14ac:dyDescent="0.25">
      <c r="A12" s="9" t="s">
        <v>42</v>
      </c>
      <c r="B12" s="9">
        <v>124</v>
      </c>
      <c r="C12" s="9"/>
      <c r="D12" s="9"/>
      <c r="E12" s="9"/>
      <c r="F12" s="9">
        <f>SUM(B12:D12)</f>
        <v>124</v>
      </c>
      <c r="G12" s="74">
        <f>H4*F12</f>
        <v>348.15384615384613</v>
      </c>
      <c r="H12" s="12"/>
      <c r="I12" s="77">
        <f>'one to one'!$O$3</f>
        <v>13.8</v>
      </c>
      <c r="J12" s="12">
        <v>1.1200000000000001</v>
      </c>
      <c r="K12" s="13">
        <f>G12*I12*J12*H4</f>
        <v>15108.37718343195</v>
      </c>
      <c r="L12" s="14">
        <f>1/4</f>
        <v>0.25</v>
      </c>
      <c r="M12" s="15">
        <f t="shared" si="1"/>
        <v>3777.0942958579876</v>
      </c>
    </row>
    <row r="13" spans="1:18" x14ac:dyDescent="0.25">
      <c r="A13" s="92" t="s">
        <v>45</v>
      </c>
      <c r="B13" s="92">
        <v>124</v>
      </c>
      <c r="C13" s="92"/>
      <c r="D13" s="92"/>
      <c r="E13" s="92"/>
      <c r="F13" s="92">
        <f>SUM(B13:D13)</f>
        <v>124</v>
      </c>
      <c r="G13" s="74">
        <f>H5*F13</f>
        <v>55.323076923076925</v>
      </c>
      <c r="H13" s="12"/>
      <c r="I13" s="77">
        <f>'one to one'!$O$3</f>
        <v>13.8</v>
      </c>
      <c r="J13" s="12">
        <v>1.1200000000000001</v>
      </c>
      <c r="K13" s="13">
        <f>G13*I13*J13*H5</f>
        <v>381.49432047337291</v>
      </c>
      <c r="L13" s="14">
        <f>1/4</f>
        <v>0.25</v>
      </c>
      <c r="M13" s="15">
        <f t="shared" ref="M13" si="9">L13*K13</f>
        <v>95.373580118343227</v>
      </c>
    </row>
    <row r="14" spans="1:18" x14ac:dyDescent="0.25">
      <c r="A14" s="92" t="s">
        <v>169</v>
      </c>
      <c r="B14" s="92">
        <v>124</v>
      </c>
      <c r="C14" s="92"/>
      <c r="D14" s="92"/>
      <c r="E14" s="92"/>
      <c r="F14" s="92">
        <f>SUM(B14:D14)</f>
        <v>124</v>
      </c>
      <c r="G14" s="74">
        <f>H6*F14</f>
        <v>55.323076923076925</v>
      </c>
      <c r="H14" s="12"/>
      <c r="I14" s="77">
        <f>'one to one'!$O$3</f>
        <v>13.8</v>
      </c>
      <c r="J14" s="12">
        <v>1.1200000000000001</v>
      </c>
      <c r="K14" s="13">
        <f>G14*I14*J14*H6</f>
        <v>381.49432047337291</v>
      </c>
      <c r="L14" s="14">
        <f>1/4</f>
        <v>0.25</v>
      </c>
      <c r="M14" s="15">
        <f t="shared" ref="M14" si="10">L14*K14</f>
        <v>95.373580118343227</v>
      </c>
    </row>
    <row r="15" spans="1:18" x14ac:dyDescent="0.25">
      <c r="A15" s="9" t="s">
        <v>44</v>
      </c>
      <c r="B15" s="9">
        <v>124</v>
      </c>
      <c r="C15" s="9"/>
      <c r="D15" s="9"/>
      <c r="E15" s="9"/>
      <c r="F15" s="9">
        <f>SUM(B15:D15)</f>
        <v>124</v>
      </c>
      <c r="G15" s="74">
        <f>H7*F15</f>
        <v>174.07692307692307</v>
      </c>
      <c r="H15" s="12"/>
      <c r="I15" s="12">
        <v>23.19</v>
      </c>
      <c r="J15" s="12">
        <v>1.1200000000000001</v>
      </c>
      <c r="K15" s="13">
        <f>G15*I15*J15*H7</f>
        <v>6347.1606319526636</v>
      </c>
      <c r="L15" s="14">
        <f>1/4</f>
        <v>0.25</v>
      </c>
      <c r="M15" s="15">
        <f t="shared" si="1"/>
        <v>1586.7901579881659</v>
      </c>
    </row>
    <row r="16" spans="1:18" x14ac:dyDescent="0.25">
      <c r="I16" s="1"/>
      <c r="J16" s="1"/>
    </row>
    <row r="17" spans="1:13" x14ac:dyDescent="0.25">
      <c r="I17" s="1"/>
      <c r="L17" s="1" t="s">
        <v>20</v>
      </c>
      <c r="M17" s="2">
        <f>SUM(M3:M15)</f>
        <v>113171.18145136094</v>
      </c>
    </row>
    <row r="18" spans="1:13" x14ac:dyDescent="0.25">
      <c r="I18" s="1"/>
      <c r="L18" s="1" t="s">
        <v>21</v>
      </c>
      <c r="M18" s="2">
        <f>M17/347</f>
        <v>326.14173328922465</v>
      </c>
    </row>
    <row r="19" spans="1:13" x14ac:dyDescent="0.25">
      <c r="I19" s="1"/>
      <c r="J19" s="1"/>
    </row>
    <row r="20" spans="1:13" x14ac:dyDescent="0.25">
      <c r="I20" s="1"/>
      <c r="J20" s="1"/>
    </row>
    <row r="21" spans="1:13" x14ac:dyDescent="0.2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x14ac:dyDescent="0.2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x14ac:dyDescent="0.2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x14ac:dyDescent="0.2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x14ac:dyDescent="0.2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x14ac:dyDescent="0.2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x14ac:dyDescent="0.2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x14ac:dyDescent="0.2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</row>
    <row r="31" spans="1:13" x14ac:dyDescent="0.25">
      <c r="A31" t="s">
        <v>53</v>
      </c>
    </row>
  </sheetData>
  <mergeCells count="1">
    <mergeCell ref="A21:M28"/>
  </mergeCells>
  <phoneticPr fontId="7" type="noConversion"/>
  <pageMargins left="0.7" right="0.7" top="0.75" bottom="0.75" header="0.3" footer="0.3"/>
  <pageSetup scale="87" orientation="landscape"/>
  <headerFooter>
    <oddHeader>&amp;C&amp;F //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3"/>
  <sheetViews>
    <sheetView topLeftCell="B4" zoomScaleNormal="100" workbookViewId="0">
      <selection activeCell="M22" sqref="M22"/>
    </sheetView>
  </sheetViews>
  <sheetFormatPr defaultColWidth="8.85546875" defaultRowHeight="15" x14ac:dyDescent="0.25"/>
  <cols>
    <col min="1" max="1" width="14.28515625" bestFit="1" customWidth="1"/>
    <col min="6" max="6" width="10.85546875" customWidth="1"/>
    <col min="7" max="7" width="9.42578125" bestFit="1" customWidth="1"/>
    <col min="8" max="8" width="9.42578125" customWidth="1"/>
    <col min="11" max="11" width="14.28515625" customWidth="1"/>
    <col min="12" max="12" width="10.7109375" customWidth="1"/>
    <col min="13" max="13" width="14.7109375" customWidth="1"/>
  </cols>
  <sheetData>
    <row r="2" spans="1:18" ht="30" x14ac:dyDescent="0.25">
      <c r="A2" s="3"/>
      <c r="B2" s="4" t="s">
        <v>3</v>
      </c>
      <c r="C2" s="5" t="s">
        <v>4</v>
      </c>
      <c r="D2" s="5" t="s">
        <v>5</v>
      </c>
      <c r="E2" s="5" t="s">
        <v>7</v>
      </c>
      <c r="F2" s="5" t="s">
        <v>8</v>
      </c>
      <c r="G2" s="5" t="s">
        <v>9</v>
      </c>
      <c r="H2" s="5" t="s">
        <v>19</v>
      </c>
      <c r="I2" s="5" t="s">
        <v>10</v>
      </c>
      <c r="J2" s="5" t="s">
        <v>30</v>
      </c>
      <c r="K2" s="5" t="s">
        <v>23</v>
      </c>
      <c r="L2" s="5" t="s">
        <v>22</v>
      </c>
      <c r="M2" s="5" t="s">
        <v>24</v>
      </c>
      <c r="P2" t="s">
        <v>210</v>
      </c>
      <c r="Q2">
        <v>1.4705882352941178E-2</v>
      </c>
      <c r="R2" t="s">
        <v>211</v>
      </c>
    </row>
    <row r="3" spans="1:18" x14ac:dyDescent="0.25">
      <c r="A3" s="3" t="s">
        <v>6</v>
      </c>
      <c r="B3" s="9">
        <v>4</v>
      </c>
      <c r="C3" s="9">
        <v>8</v>
      </c>
      <c r="D3" s="9">
        <v>8</v>
      </c>
      <c r="E3" s="9">
        <f>SUM(B3:D3)</f>
        <v>20</v>
      </c>
      <c r="F3" s="9">
        <v>365</v>
      </c>
      <c r="G3" s="10">
        <f>+E3*F3</f>
        <v>7300</v>
      </c>
      <c r="H3" s="11">
        <f t="shared" ref="H3:H12" si="0">+G3/2080</f>
        <v>3.5096153846153846</v>
      </c>
      <c r="I3" s="77">
        <f>'one to one'!$O$3</f>
        <v>13.8</v>
      </c>
      <c r="J3" s="12">
        <v>1.2</v>
      </c>
      <c r="K3" s="13">
        <f t="shared" ref="K3:K12" si="1">G3*I3*J3</f>
        <v>120888</v>
      </c>
      <c r="L3" s="14">
        <f>1/6</f>
        <v>0.16666666666666666</v>
      </c>
      <c r="M3" s="15">
        <f t="shared" ref="M3:M19" si="2">L3*K3</f>
        <v>20148</v>
      </c>
      <c r="O3" t="s">
        <v>11</v>
      </c>
      <c r="P3">
        <v>22.85</v>
      </c>
      <c r="Q3">
        <v>0.33602941176470597</v>
      </c>
      <c r="R3" s="60">
        <v>23.186029411764707</v>
      </c>
    </row>
    <row r="4" spans="1:18" x14ac:dyDescent="0.25">
      <c r="A4" s="3" t="s">
        <v>16</v>
      </c>
      <c r="B4" s="9"/>
      <c r="C4" s="9">
        <v>8</v>
      </c>
      <c r="D4" s="9">
        <v>8</v>
      </c>
      <c r="E4" s="9">
        <f>SUM(B4:D4)</f>
        <v>16</v>
      </c>
      <c r="F4" s="9">
        <v>365</v>
      </c>
      <c r="G4" s="10">
        <f>+E4*F4</f>
        <v>5840</v>
      </c>
      <c r="H4" s="11">
        <f t="shared" si="0"/>
        <v>2.8076923076923075</v>
      </c>
      <c r="I4" s="77">
        <f>'one to one'!$O$3</f>
        <v>13.8</v>
      </c>
      <c r="J4" s="12">
        <v>1.2</v>
      </c>
      <c r="K4" s="13">
        <f t="shared" si="1"/>
        <v>96710.399999999994</v>
      </c>
      <c r="L4" s="14">
        <f>1/6</f>
        <v>0.16666666666666666</v>
      </c>
      <c r="M4" s="15">
        <f t="shared" si="2"/>
        <v>16118.399999999998</v>
      </c>
      <c r="O4" t="s">
        <v>12</v>
      </c>
      <c r="P4">
        <v>36.61</v>
      </c>
      <c r="Q4">
        <v>0.53838235294117653</v>
      </c>
      <c r="R4" s="60">
        <v>37.148382352941177</v>
      </c>
    </row>
    <row r="5" spans="1:18" x14ac:dyDescent="0.25">
      <c r="A5" s="3" t="s">
        <v>25</v>
      </c>
      <c r="B5" s="9"/>
      <c r="C5" s="9">
        <v>8</v>
      </c>
      <c r="D5" s="9"/>
      <c r="E5" s="9">
        <f>SUM(B5:D5)</f>
        <v>8</v>
      </c>
      <c r="F5" s="9">
        <v>365</v>
      </c>
      <c r="G5" s="10">
        <f>+E5*F5</f>
        <v>2920</v>
      </c>
      <c r="H5" s="11">
        <f t="shared" si="0"/>
        <v>1.4038461538461537</v>
      </c>
      <c r="I5" s="77">
        <f>'one to one'!$O$3</f>
        <v>13.8</v>
      </c>
      <c r="J5" s="12">
        <v>1.2</v>
      </c>
      <c r="K5" s="13">
        <f t="shared" si="1"/>
        <v>48355.199999999997</v>
      </c>
      <c r="L5" s="14">
        <f>1/6</f>
        <v>0.16666666666666666</v>
      </c>
      <c r="M5" s="15">
        <f t="shared" si="2"/>
        <v>8059.1999999999989</v>
      </c>
      <c r="O5" t="s">
        <v>13</v>
      </c>
      <c r="P5">
        <v>31.38</v>
      </c>
      <c r="Q5">
        <v>0.46147058823529413</v>
      </c>
      <c r="R5" s="60">
        <v>31.841470588235293</v>
      </c>
    </row>
    <row r="6" spans="1:18" x14ac:dyDescent="0.25">
      <c r="A6" s="3" t="s">
        <v>29</v>
      </c>
      <c r="B6" s="92">
        <v>8</v>
      </c>
      <c r="C6" s="92"/>
      <c r="D6" s="92"/>
      <c r="E6" s="92">
        <f>SUM(B6:D6)</f>
        <v>8</v>
      </c>
      <c r="F6" s="92">
        <v>116</v>
      </c>
      <c r="G6" s="10">
        <f>+E6*F6</f>
        <v>928</v>
      </c>
      <c r="H6" s="11">
        <f t="shared" ref="H6" si="3">+G6/2080</f>
        <v>0.44615384615384618</v>
      </c>
      <c r="I6" s="77">
        <f>'one to one'!$O$3</f>
        <v>13.8</v>
      </c>
      <c r="J6" s="12">
        <v>1.2</v>
      </c>
      <c r="K6" s="13">
        <f t="shared" ref="K6" si="4">G6*I6*J6</f>
        <v>15367.68</v>
      </c>
      <c r="L6" s="14">
        <f>1/6</f>
        <v>0.16666666666666666</v>
      </c>
      <c r="M6" s="15">
        <f t="shared" ref="M6" si="5">L6*K6</f>
        <v>2561.2799999999997</v>
      </c>
      <c r="O6" t="s">
        <v>14</v>
      </c>
      <c r="P6">
        <v>23.53</v>
      </c>
      <c r="Q6">
        <v>0.34602941176470592</v>
      </c>
      <c r="R6" s="60">
        <v>23.876029411764708</v>
      </c>
    </row>
    <row r="7" spans="1:18" x14ac:dyDescent="0.25">
      <c r="A7" s="3" t="s">
        <v>172</v>
      </c>
      <c r="B7" s="92">
        <v>8</v>
      </c>
      <c r="C7" s="92"/>
      <c r="D7" s="92"/>
      <c r="E7" s="92">
        <f t="shared" ref="E7:E8" si="6">SUM(B7:D7)</f>
        <v>8</v>
      </c>
      <c r="F7" s="92">
        <v>116</v>
      </c>
      <c r="G7" s="10">
        <f t="shared" ref="G7:G8" si="7">+E7*F7</f>
        <v>928</v>
      </c>
      <c r="H7" s="11">
        <f t="shared" ref="H7:H8" si="8">+G7/2080</f>
        <v>0.44615384615384618</v>
      </c>
      <c r="I7" s="77">
        <f>'one to one'!$O$3</f>
        <v>13.8</v>
      </c>
      <c r="J7" s="12">
        <v>1.2</v>
      </c>
      <c r="K7" s="13">
        <f t="shared" ref="K7:K8" si="9">G7*I7*J7</f>
        <v>15367.68</v>
      </c>
      <c r="L7" s="14">
        <f t="shared" ref="L7:L8" si="10">1/6</f>
        <v>0.16666666666666666</v>
      </c>
      <c r="M7" s="15">
        <f t="shared" ref="M7:M8" si="11">L7*K7</f>
        <v>2561.2799999999997</v>
      </c>
    </row>
    <row r="8" spans="1:18" x14ac:dyDescent="0.25">
      <c r="A8" s="3" t="s">
        <v>174</v>
      </c>
      <c r="B8" s="92">
        <v>8</v>
      </c>
      <c r="C8" s="92"/>
      <c r="D8" s="92"/>
      <c r="E8" s="92">
        <f t="shared" si="6"/>
        <v>8</v>
      </c>
      <c r="F8" s="92">
        <v>116</v>
      </c>
      <c r="G8" s="10">
        <f t="shared" si="7"/>
        <v>928</v>
      </c>
      <c r="H8" s="11">
        <f t="shared" si="8"/>
        <v>0.44615384615384618</v>
      </c>
      <c r="I8" s="77">
        <f>'one to one'!$O$3</f>
        <v>13.8</v>
      </c>
      <c r="J8" s="12">
        <v>1.2</v>
      </c>
      <c r="K8" s="13">
        <f t="shared" si="9"/>
        <v>15367.68</v>
      </c>
      <c r="L8" s="14">
        <f t="shared" si="10"/>
        <v>0.16666666666666666</v>
      </c>
      <c r="M8" s="15">
        <f t="shared" si="11"/>
        <v>2561.2799999999997</v>
      </c>
    </row>
    <row r="9" spans="1:18" x14ac:dyDescent="0.25">
      <c r="A9" s="37" t="s">
        <v>11</v>
      </c>
      <c r="B9" s="36">
        <f>72/7</f>
        <v>10.285714285714286</v>
      </c>
      <c r="C9" s="9"/>
      <c r="D9" s="9"/>
      <c r="E9" s="36">
        <f>SUM(B9:D9)</f>
        <v>10.285714285714286</v>
      </c>
      <c r="F9" s="9">
        <v>365</v>
      </c>
      <c r="G9" s="10">
        <f>+E9*F9</f>
        <v>3754.2857142857147</v>
      </c>
      <c r="H9" s="11">
        <f t="shared" si="0"/>
        <v>1.8049450549450552</v>
      </c>
      <c r="I9" s="12">
        <v>23.19</v>
      </c>
      <c r="J9" s="12">
        <v>1.2</v>
      </c>
      <c r="K9" s="13">
        <f t="shared" si="1"/>
        <v>104474.26285714288</v>
      </c>
      <c r="L9" s="14">
        <f>1/6</f>
        <v>0.16666666666666666</v>
      </c>
      <c r="M9" s="15">
        <f t="shared" si="2"/>
        <v>17412.377142857145</v>
      </c>
    </row>
    <row r="10" spans="1:18" x14ac:dyDescent="0.25">
      <c r="A10" s="3" t="s">
        <v>12</v>
      </c>
      <c r="B10" s="9">
        <v>8</v>
      </c>
      <c r="C10" s="9"/>
      <c r="D10" s="9"/>
      <c r="E10" s="9"/>
      <c r="F10" s="9"/>
      <c r="G10" s="10">
        <v>2080</v>
      </c>
      <c r="H10" s="11">
        <f t="shared" si="0"/>
        <v>1</v>
      </c>
      <c r="I10" s="12">
        <v>37.15</v>
      </c>
      <c r="J10" s="12">
        <v>1.2</v>
      </c>
      <c r="K10" s="13">
        <f t="shared" si="1"/>
        <v>92726.399999999994</v>
      </c>
      <c r="L10" s="14">
        <f>1/12</f>
        <v>8.3333333333333329E-2</v>
      </c>
      <c r="M10" s="15">
        <f t="shared" si="2"/>
        <v>7727.1999999999989</v>
      </c>
    </row>
    <row r="11" spans="1:18" x14ac:dyDescent="0.25">
      <c r="A11" s="3" t="s">
        <v>13</v>
      </c>
      <c r="B11" s="9">
        <v>8</v>
      </c>
      <c r="C11" s="9"/>
      <c r="D11" s="9"/>
      <c r="E11" s="9"/>
      <c r="F11" s="9"/>
      <c r="G11" s="10">
        <v>2080</v>
      </c>
      <c r="H11" s="11">
        <f t="shared" si="0"/>
        <v>1</v>
      </c>
      <c r="I11" s="77">
        <v>31.84</v>
      </c>
      <c r="J11" s="12">
        <v>1.2</v>
      </c>
      <c r="K11" s="13">
        <f t="shared" si="1"/>
        <v>79472.639999999999</v>
      </c>
      <c r="L11" s="14">
        <f>1/12</f>
        <v>8.3333333333333329E-2</v>
      </c>
      <c r="M11" s="15">
        <f t="shared" si="2"/>
        <v>6622.7199999999993</v>
      </c>
    </row>
    <row r="12" spans="1:18" x14ac:dyDescent="0.25">
      <c r="A12" s="3" t="s">
        <v>14</v>
      </c>
      <c r="B12" s="9">
        <v>8</v>
      </c>
      <c r="C12" s="9"/>
      <c r="D12" s="9"/>
      <c r="E12" s="9"/>
      <c r="F12" s="9"/>
      <c r="G12" s="10">
        <v>2080</v>
      </c>
      <c r="H12" s="11">
        <f t="shared" si="0"/>
        <v>1</v>
      </c>
      <c r="I12" s="77">
        <v>23.88</v>
      </c>
      <c r="J12" s="12">
        <v>1.2</v>
      </c>
      <c r="K12" s="13">
        <f t="shared" si="1"/>
        <v>59604.479999999996</v>
      </c>
      <c r="L12" s="14">
        <f>1/12</f>
        <v>8.3333333333333329E-2</v>
      </c>
      <c r="M12" s="15">
        <f t="shared" si="2"/>
        <v>4967.0399999999991</v>
      </c>
    </row>
    <row r="13" spans="1:18" x14ac:dyDescent="0.25">
      <c r="A13" s="3" t="s">
        <v>15</v>
      </c>
      <c r="B13" s="9">
        <v>124</v>
      </c>
      <c r="C13" s="9"/>
      <c r="D13" s="9"/>
      <c r="E13" s="9"/>
      <c r="F13" s="9">
        <f>SUM(B13:D13)</f>
        <v>124</v>
      </c>
      <c r="G13" s="74">
        <f>H3*F13</f>
        <v>435.19230769230768</v>
      </c>
      <c r="H13" s="12"/>
      <c r="I13" s="77">
        <f>'one to one'!$O$3</f>
        <v>13.8</v>
      </c>
      <c r="J13" s="12">
        <v>1.1200000000000001</v>
      </c>
      <c r="K13" s="13">
        <f>G13*I13*J13*H3</f>
        <v>23606.83934911243</v>
      </c>
      <c r="L13" s="14">
        <f>1/6</f>
        <v>0.16666666666666666</v>
      </c>
      <c r="M13" s="15">
        <f t="shared" si="2"/>
        <v>3934.4732248520713</v>
      </c>
    </row>
    <row r="14" spans="1:18" x14ac:dyDescent="0.25">
      <c r="A14" s="3" t="s">
        <v>17</v>
      </c>
      <c r="B14" s="9">
        <v>124</v>
      </c>
      <c r="C14" s="9"/>
      <c r="D14" s="9"/>
      <c r="E14" s="9"/>
      <c r="F14" s="9">
        <f>SUM(B14:D14)</f>
        <v>124</v>
      </c>
      <c r="G14" s="74">
        <f>H4*F14</f>
        <v>348.15384615384613</v>
      </c>
      <c r="H14" s="12"/>
      <c r="I14" s="77">
        <f>'one to one'!$O$3</f>
        <v>13.8</v>
      </c>
      <c r="J14" s="12">
        <v>1.1200000000000001</v>
      </c>
      <c r="K14" s="13">
        <f>G14*I14*J14*H4</f>
        <v>15108.37718343195</v>
      </c>
      <c r="L14" s="14">
        <f>1/6</f>
        <v>0.16666666666666666</v>
      </c>
      <c r="M14" s="15">
        <f t="shared" si="2"/>
        <v>2518.0628639053248</v>
      </c>
    </row>
    <row r="15" spans="1:18" x14ac:dyDescent="0.25">
      <c r="A15" s="3" t="s">
        <v>26</v>
      </c>
      <c r="B15" s="9">
        <v>124</v>
      </c>
      <c r="C15" s="9"/>
      <c r="D15" s="9"/>
      <c r="E15" s="9"/>
      <c r="F15" s="9">
        <f>SUM(B15:D15)</f>
        <v>124</v>
      </c>
      <c r="G15" s="74">
        <f>H5*F15</f>
        <v>174.07692307692307</v>
      </c>
      <c r="H15" s="12"/>
      <c r="I15" s="77">
        <f>'one to one'!$O$3</f>
        <v>13.8</v>
      </c>
      <c r="J15" s="12">
        <v>1.1200000000000001</v>
      </c>
      <c r="K15" s="13">
        <f>G15*I15*J15*H5</f>
        <v>3777.0942958579876</v>
      </c>
      <c r="L15" s="14">
        <f>1/6</f>
        <v>0.16666666666666666</v>
      </c>
      <c r="M15" s="15">
        <f t="shared" si="2"/>
        <v>629.51571597633119</v>
      </c>
    </row>
    <row r="16" spans="1:18" x14ac:dyDescent="0.25">
      <c r="A16" s="3" t="s">
        <v>171</v>
      </c>
      <c r="B16" s="92">
        <v>124</v>
      </c>
      <c r="C16" s="92"/>
      <c r="D16" s="92"/>
      <c r="E16" s="92"/>
      <c r="F16" s="92">
        <v>124</v>
      </c>
      <c r="G16" s="74">
        <f>H6*F16</f>
        <v>55.323076923076925</v>
      </c>
      <c r="H16" s="12"/>
      <c r="I16" s="77">
        <v>13.878099999999998</v>
      </c>
      <c r="J16" s="12">
        <v>1.1200000000000001</v>
      </c>
      <c r="K16" s="13">
        <v>3798.4704599526622</v>
      </c>
      <c r="L16" s="14">
        <v>0.16666666666666666</v>
      </c>
      <c r="M16" s="15">
        <v>633.07840999211032</v>
      </c>
    </row>
    <row r="17" spans="1:13" x14ac:dyDescent="0.25">
      <c r="A17" s="3" t="s">
        <v>180</v>
      </c>
      <c r="B17" s="92">
        <v>124</v>
      </c>
      <c r="C17" s="92"/>
      <c r="D17" s="92"/>
      <c r="E17" s="92"/>
      <c r="F17" s="92">
        <v>124</v>
      </c>
      <c r="G17" s="74">
        <f t="shared" ref="G17:G18" si="12">H7*F17</f>
        <v>55.323076923076925</v>
      </c>
      <c r="H17" s="12"/>
      <c r="I17" s="77">
        <v>13.878099999999998</v>
      </c>
      <c r="J17" s="12">
        <v>1.1200000000000001</v>
      </c>
      <c r="K17" s="13">
        <v>3798.4704599526622</v>
      </c>
      <c r="L17" s="14">
        <v>0.16666666666666666</v>
      </c>
      <c r="M17" s="15">
        <v>633.07840999211032</v>
      </c>
    </row>
    <row r="18" spans="1:13" x14ac:dyDescent="0.25">
      <c r="A18" s="3" t="s">
        <v>181</v>
      </c>
      <c r="B18" s="92">
        <v>124</v>
      </c>
      <c r="C18" s="92"/>
      <c r="D18" s="92"/>
      <c r="E18" s="92"/>
      <c r="F18" s="92">
        <v>124</v>
      </c>
      <c r="G18" s="74">
        <f t="shared" si="12"/>
        <v>55.323076923076925</v>
      </c>
      <c r="H18" s="12"/>
      <c r="I18" s="77">
        <v>13.878099999999998</v>
      </c>
      <c r="J18" s="12">
        <v>1.1200000000000001</v>
      </c>
      <c r="K18" s="13">
        <v>3798.4704599526622</v>
      </c>
      <c r="L18" s="14">
        <v>0.16666666666666666</v>
      </c>
      <c r="M18" s="15">
        <v>633.07840999211032</v>
      </c>
    </row>
    <row r="19" spans="1:13" x14ac:dyDescent="0.25">
      <c r="A19" s="3" t="s">
        <v>18</v>
      </c>
      <c r="B19" s="9">
        <v>124</v>
      </c>
      <c r="C19" s="9"/>
      <c r="D19" s="9"/>
      <c r="E19" s="9"/>
      <c r="F19" s="9">
        <f>SUM(B19:D19)</f>
        <v>124</v>
      </c>
      <c r="G19" s="74">
        <f>H9*F19</f>
        <v>223.81318681318683</v>
      </c>
      <c r="H19" s="12"/>
      <c r="I19" s="12">
        <v>23.19</v>
      </c>
      <c r="J19" s="12">
        <v>1.1200000000000001</v>
      </c>
      <c r="K19" s="13">
        <f>G19*I19*J19*H9</f>
        <v>10492.245126289099</v>
      </c>
      <c r="L19" s="14">
        <f>1/6</f>
        <v>0.16666666666666666</v>
      </c>
      <c r="M19" s="15">
        <f t="shared" si="2"/>
        <v>1748.707521048183</v>
      </c>
    </row>
    <row r="20" spans="1:13" x14ac:dyDescent="0.25">
      <c r="I20" s="1"/>
      <c r="J20" s="1"/>
    </row>
    <row r="21" spans="1:13" x14ac:dyDescent="0.25">
      <c r="I21" s="1"/>
      <c r="L21" s="1" t="s">
        <v>20</v>
      </c>
      <c r="M21" s="2">
        <f>SUM(M3:M19)</f>
        <v>99468.771698615397</v>
      </c>
    </row>
    <row r="22" spans="1:13" x14ac:dyDescent="0.25">
      <c r="I22" s="1"/>
      <c r="L22" s="1" t="s">
        <v>21</v>
      </c>
      <c r="M22" s="2">
        <f>M21/347</f>
        <v>286.65352074528931</v>
      </c>
    </row>
    <row r="23" spans="1:13" x14ac:dyDescent="0.25">
      <c r="I23" s="1"/>
      <c r="J23" s="1"/>
    </row>
    <row r="24" spans="1:13" x14ac:dyDescent="0.2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x14ac:dyDescent="0.2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x14ac:dyDescent="0.2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x14ac:dyDescent="0.2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x14ac:dyDescent="0.2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x14ac:dyDescent="0.2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x14ac:dyDescent="0.2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x14ac:dyDescent="0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33" spans="2:2" x14ac:dyDescent="0.25">
      <c r="B33" t="s">
        <v>54</v>
      </c>
    </row>
  </sheetData>
  <mergeCells count="1">
    <mergeCell ref="A24:M31"/>
  </mergeCells>
  <phoneticPr fontId="7" type="noConversion"/>
  <pageMargins left="0.7" right="0.7" top="0.75" bottom="0.75" header="0.3" footer="0.3"/>
  <pageSetup scale="89" orientation="landscape"/>
  <headerFooter>
    <oddHeader>&amp;C&amp;F //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6"/>
  <sheetViews>
    <sheetView zoomScaleNormal="100" workbookViewId="0">
      <selection activeCell="I19" sqref="I19"/>
    </sheetView>
  </sheetViews>
  <sheetFormatPr defaultColWidth="8.85546875" defaultRowHeight="15" x14ac:dyDescent="0.25"/>
  <cols>
    <col min="1" max="1" width="17.28515625" customWidth="1"/>
    <col min="6" max="6" width="10.85546875" customWidth="1"/>
    <col min="7" max="7" width="9.42578125" bestFit="1" customWidth="1"/>
    <col min="8" max="8" width="9.42578125" customWidth="1"/>
    <col min="11" max="11" width="12.42578125" bestFit="1" customWidth="1"/>
    <col min="12" max="12" width="10.7109375" customWidth="1"/>
    <col min="13" max="13" width="14.7109375" customWidth="1"/>
  </cols>
  <sheetData>
    <row r="2" spans="1:18" ht="30" x14ac:dyDescent="0.25">
      <c r="A2" s="9"/>
      <c r="B2" s="16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7" t="s">
        <v>19</v>
      </c>
      <c r="I2" s="17" t="s">
        <v>10</v>
      </c>
      <c r="J2" s="17" t="s">
        <v>27</v>
      </c>
      <c r="K2" s="17" t="s">
        <v>23</v>
      </c>
      <c r="L2" s="17" t="s">
        <v>22</v>
      </c>
      <c r="M2" s="17" t="s">
        <v>24</v>
      </c>
      <c r="P2" t="s">
        <v>210</v>
      </c>
      <c r="Q2">
        <v>1.4705882352941178E-2</v>
      </c>
      <c r="R2" t="s">
        <v>211</v>
      </c>
    </row>
    <row r="3" spans="1:18" x14ac:dyDescent="0.25">
      <c r="A3" s="9" t="s">
        <v>6</v>
      </c>
      <c r="B3" s="9">
        <v>4</v>
      </c>
      <c r="C3" s="9">
        <v>8</v>
      </c>
      <c r="D3" s="9">
        <v>8</v>
      </c>
      <c r="E3" s="9">
        <f>SUM(B3:D3)</f>
        <v>20</v>
      </c>
      <c r="F3" s="9">
        <v>365</v>
      </c>
      <c r="G3" s="10">
        <f>+E3*F3</f>
        <v>7300</v>
      </c>
      <c r="H3" s="11">
        <f t="shared" ref="H3:H12" si="0">+G3/2080</f>
        <v>3.5096153846153846</v>
      </c>
      <c r="I3" s="77">
        <f>'one to one'!$O$3</f>
        <v>13.8</v>
      </c>
      <c r="J3" s="12">
        <v>1.2</v>
      </c>
      <c r="K3" s="13">
        <f t="shared" ref="K3:K12" si="1">G3*I3*J3</f>
        <v>120888</v>
      </c>
      <c r="L3" s="14">
        <f>1/4</f>
        <v>0.25</v>
      </c>
      <c r="M3" s="15">
        <f t="shared" ref="M3:M15" si="2">L3*K3</f>
        <v>30222</v>
      </c>
      <c r="O3" t="s">
        <v>11</v>
      </c>
      <c r="P3">
        <v>22.85</v>
      </c>
      <c r="Q3">
        <v>0.33602941176470597</v>
      </c>
      <c r="R3" s="60">
        <v>23.186029411764707</v>
      </c>
    </row>
    <row r="4" spans="1:18" x14ac:dyDescent="0.25">
      <c r="A4" s="9" t="s">
        <v>16</v>
      </c>
      <c r="B4" s="9"/>
      <c r="C4" s="9">
        <v>8</v>
      </c>
      <c r="D4" s="9">
        <v>8</v>
      </c>
      <c r="E4" s="9">
        <f>SUM(B4:D4)</f>
        <v>16</v>
      </c>
      <c r="F4" s="9">
        <v>365</v>
      </c>
      <c r="G4" s="10">
        <f>+E4*F4</f>
        <v>5840</v>
      </c>
      <c r="H4" s="11">
        <f t="shared" si="0"/>
        <v>2.8076923076923075</v>
      </c>
      <c r="I4" s="77">
        <f>'one to one'!$O$3</f>
        <v>13.8</v>
      </c>
      <c r="J4" s="12">
        <v>1.2</v>
      </c>
      <c r="K4" s="13">
        <f t="shared" si="1"/>
        <v>96710.399999999994</v>
      </c>
      <c r="L4" s="14">
        <f>1/4</f>
        <v>0.25</v>
      </c>
      <c r="M4" s="15">
        <f t="shared" si="2"/>
        <v>24177.599999999999</v>
      </c>
      <c r="O4" t="s">
        <v>12</v>
      </c>
      <c r="P4">
        <v>36.61</v>
      </c>
      <c r="Q4">
        <v>0.53838235294117653</v>
      </c>
      <c r="R4" s="60">
        <v>37.148382352941177</v>
      </c>
    </row>
    <row r="5" spans="1:18" x14ac:dyDescent="0.25">
      <c r="A5" s="9" t="s">
        <v>25</v>
      </c>
      <c r="B5" s="9"/>
      <c r="C5" s="9">
        <v>8</v>
      </c>
      <c r="D5" s="9">
        <v>0</v>
      </c>
      <c r="E5" s="9">
        <f>SUM(B5:D5)</f>
        <v>8</v>
      </c>
      <c r="F5" s="9">
        <v>365</v>
      </c>
      <c r="G5" s="10">
        <f>+E5*F5</f>
        <v>2920</v>
      </c>
      <c r="H5" s="11">
        <f t="shared" si="0"/>
        <v>1.4038461538461537</v>
      </c>
      <c r="I5" s="77">
        <f>'one to one'!$O$3</f>
        <v>13.8</v>
      </c>
      <c r="J5" s="12">
        <v>1.2</v>
      </c>
      <c r="K5" s="13">
        <f t="shared" si="1"/>
        <v>48355.199999999997</v>
      </c>
      <c r="L5" s="14">
        <f>1/4</f>
        <v>0.25</v>
      </c>
      <c r="M5" s="15">
        <f t="shared" si="2"/>
        <v>12088.8</v>
      </c>
      <c r="O5" t="s">
        <v>13</v>
      </c>
      <c r="P5">
        <v>31.38</v>
      </c>
      <c r="Q5">
        <v>0.46147058823529413</v>
      </c>
      <c r="R5" s="60">
        <v>31.841470588235293</v>
      </c>
    </row>
    <row r="6" spans="1:18" x14ac:dyDescent="0.25">
      <c r="A6" s="92" t="s">
        <v>29</v>
      </c>
      <c r="B6" s="92">
        <v>8</v>
      </c>
      <c r="C6" s="92"/>
      <c r="D6" s="92">
        <v>0</v>
      </c>
      <c r="E6" s="92">
        <f t="shared" ref="E6:E7" si="3">SUM(B6:D6)</f>
        <v>8</v>
      </c>
      <c r="F6" s="92">
        <v>116</v>
      </c>
      <c r="G6" s="10">
        <f t="shared" ref="G6:G7" si="4">+E6*F6</f>
        <v>928</v>
      </c>
      <c r="H6" s="11">
        <f t="shared" ref="H6:H7" si="5">+G6/2080</f>
        <v>0.44615384615384618</v>
      </c>
      <c r="I6" s="77">
        <f>'one to one'!$O$3</f>
        <v>13.8</v>
      </c>
      <c r="J6" s="12">
        <v>1.2</v>
      </c>
      <c r="K6" s="13">
        <f t="shared" ref="K6:K7" si="6">G6*I6*J6</f>
        <v>15367.68</v>
      </c>
      <c r="L6" s="14">
        <f t="shared" ref="L6:L8" si="7">1/4</f>
        <v>0.25</v>
      </c>
      <c r="M6" s="15">
        <f t="shared" ref="M6:M7" si="8">L6*K6</f>
        <v>3841.92</v>
      </c>
      <c r="O6" t="s">
        <v>14</v>
      </c>
      <c r="P6">
        <v>23.53</v>
      </c>
      <c r="Q6">
        <v>0.34602941176470592</v>
      </c>
      <c r="R6" s="60">
        <v>23.876029411764708</v>
      </c>
    </row>
    <row r="7" spans="1:18" x14ac:dyDescent="0.25">
      <c r="A7" s="92" t="s">
        <v>172</v>
      </c>
      <c r="B7" s="92">
        <v>8</v>
      </c>
      <c r="C7" s="92"/>
      <c r="D7" s="92">
        <v>0</v>
      </c>
      <c r="E7" s="92">
        <f t="shared" si="3"/>
        <v>8</v>
      </c>
      <c r="F7" s="92">
        <v>116</v>
      </c>
      <c r="G7" s="10">
        <f t="shared" si="4"/>
        <v>928</v>
      </c>
      <c r="H7" s="11">
        <f t="shared" si="5"/>
        <v>0.44615384615384618</v>
      </c>
      <c r="I7" s="77">
        <f>'one to one'!$O$3</f>
        <v>13.8</v>
      </c>
      <c r="J7" s="12">
        <v>1.2</v>
      </c>
      <c r="K7" s="13">
        <f t="shared" si="6"/>
        <v>15367.68</v>
      </c>
      <c r="L7" s="14">
        <f t="shared" si="7"/>
        <v>0.25</v>
      </c>
      <c r="M7" s="15">
        <f t="shared" si="8"/>
        <v>3841.92</v>
      </c>
    </row>
    <row r="8" spans="1:18" x14ac:dyDescent="0.25">
      <c r="A8" s="92" t="s">
        <v>174</v>
      </c>
      <c r="B8" s="92">
        <v>8</v>
      </c>
      <c r="C8" s="92"/>
      <c r="D8" s="92">
        <v>0</v>
      </c>
      <c r="E8" s="92">
        <f t="shared" ref="E8" si="9">SUM(B8:D8)</f>
        <v>8</v>
      </c>
      <c r="F8" s="92">
        <v>116</v>
      </c>
      <c r="G8" s="10">
        <f t="shared" ref="G8" si="10">+E8*F8</f>
        <v>928</v>
      </c>
      <c r="H8" s="11">
        <f t="shared" ref="H8" si="11">+G8/2080</f>
        <v>0.44615384615384618</v>
      </c>
      <c r="I8" s="77">
        <f>'one to one'!$O$3</f>
        <v>13.8</v>
      </c>
      <c r="J8" s="12">
        <v>1.2</v>
      </c>
      <c r="K8" s="13">
        <f t="shared" ref="K8" si="12">G8*I8*J8</f>
        <v>15367.68</v>
      </c>
      <c r="L8" s="14">
        <f t="shared" si="7"/>
        <v>0.25</v>
      </c>
      <c r="M8" s="15">
        <f t="shared" ref="M8" si="13">L8*K8</f>
        <v>3841.92</v>
      </c>
    </row>
    <row r="9" spans="1:18" x14ac:dyDescent="0.25">
      <c r="A9" s="9" t="s">
        <v>11</v>
      </c>
      <c r="B9" s="9">
        <v>10.3</v>
      </c>
      <c r="C9" s="9"/>
      <c r="D9" s="9"/>
      <c r="E9" s="9">
        <v>8</v>
      </c>
      <c r="F9" s="9">
        <v>365</v>
      </c>
      <c r="G9" s="10">
        <f>+E9*F9</f>
        <v>2920</v>
      </c>
      <c r="H9" s="11">
        <f t="shared" ref="H9" si="14">+G9/2080</f>
        <v>1.4038461538461537</v>
      </c>
      <c r="I9" s="12">
        <v>23.19</v>
      </c>
      <c r="J9" s="12">
        <v>1.2</v>
      </c>
      <c r="K9" s="13">
        <f t="shared" ref="K9" si="15">G9*I9*J9</f>
        <v>81257.759999999995</v>
      </c>
      <c r="L9" s="14">
        <f>1/4</f>
        <v>0.25</v>
      </c>
      <c r="M9" s="15">
        <f t="shared" ref="M9" si="16">L9*K9</f>
        <v>20314.439999999999</v>
      </c>
    </row>
    <row r="10" spans="1:18" x14ac:dyDescent="0.25">
      <c r="A10" s="9" t="s">
        <v>12</v>
      </c>
      <c r="B10" s="9">
        <v>8</v>
      </c>
      <c r="C10" s="9"/>
      <c r="D10" s="9"/>
      <c r="E10" s="9"/>
      <c r="F10" s="9"/>
      <c r="G10" s="10">
        <v>2080</v>
      </c>
      <c r="H10" s="11">
        <f t="shared" si="0"/>
        <v>1</v>
      </c>
      <c r="I10" s="12">
        <v>37.15</v>
      </c>
      <c r="J10" s="12">
        <v>1.2</v>
      </c>
      <c r="K10" s="13">
        <f t="shared" si="1"/>
        <v>92726.399999999994</v>
      </c>
      <c r="L10" s="14">
        <f>1/12</f>
        <v>8.3333333333333329E-2</v>
      </c>
      <c r="M10" s="15">
        <f t="shared" si="2"/>
        <v>7727.1999999999989</v>
      </c>
    </row>
    <row r="11" spans="1:18" x14ac:dyDescent="0.25">
      <c r="A11" s="9" t="s">
        <v>13</v>
      </c>
      <c r="B11" s="9">
        <v>8</v>
      </c>
      <c r="C11" s="9"/>
      <c r="D11" s="9"/>
      <c r="E11" s="9"/>
      <c r="F11" s="9"/>
      <c r="G11" s="10">
        <v>2080</v>
      </c>
      <c r="H11" s="11">
        <f t="shared" si="0"/>
        <v>1</v>
      </c>
      <c r="I11" s="77">
        <v>31.84</v>
      </c>
      <c r="J11" s="12">
        <v>1.2</v>
      </c>
      <c r="K11" s="13">
        <f t="shared" si="1"/>
        <v>79472.639999999999</v>
      </c>
      <c r="L11" s="14">
        <f>1/12</f>
        <v>8.3333333333333329E-2</v>
      </c>
      <c r="M11" s="15">
        <f t="shared" si="2"/>
        <v>6622.7199999999993</v>
      </c>
    </row>
    <row r="12" spans="1:18" x14ac:dyDescent="0.25">
      <c r="A12" s="9" t="s">
        <v>14</v>
      </c>
      <c r="B12" s="9">
        <v>8</v>
      </c>
      <c r="C12" s="9"/>
      <c r="D12" s="9"/>
      <c r="E12" s="9"/>
      <c r="F12" s="9"/>
      <c r="G12" s="10">
        <v>2080</v>
      </c>
      <c r="H12" s="11">
        <f t="shared" si="0"/>
        <v>1</v>
      </c>
      <c r="I12" s="77">
        <v>23.88</v>
      </c>
      <c r="J12" s="12">
        <v>1.2</v>
      </c>
      <c r="K12" s="13">
        <f t="shared" si="1"/>
        <v>59604.479999999996</v>
      </c>
      <c r="L12" s="14">
        <f>1/12</f>
        <v>8.3333333333333329E-2</v>
      </c>
      <c r="M12" s="15">
        <f t="shared" si="2"/>
        <v>4967.0399999999991</v>
      </c>
    </row>
    <row r="13" spans="1:18" x14ac:dyDescent="0.25">
      <c r="A13" s="9" t="s">
        <v>43</v>
      </c>
      <c r="B13" s="9">
        <v>124</v>
      </c>
      <c r="C13" s="9"/>
      <c r="D13" s="9"/>
      <c r="E13" s="9"/>
      <c r="F13" s="9">
        <f>SUM(B13:D13)</f>
        <v>124</v>
      </c>
      <c r="G13" s="74">
        <f t="shared" ref="G13:G19" si="17">H3*F13</f>
        <v>435.19230769230768</v>
      </c>
      <c r="H13" s="12"/>
      <c r="I13" s="77">
        <f>'one to one'!$O$3</f>
        <v>13.8</v>
      </c>
      <c r="J13" s="12">
        <v>1.1200000000000001</v>
      </c>
      <c r="K13" s="13">
        <f t="shared" ref="K13:K19" si="18">G13*I13*J13*H3</f>
        <v>23606.83934911243</v>
      </c>
      <c r="L13" s="14">
        <f>1/4</f>
        <v>0.25</v>
      </c>
      <c r="M13" s="15">
        <f t="shared" si="2"/>
        <v>5901.7098372781074</v>
      </c>
    </row>
    <row r="14" spans="1:18" x14ac:dyDescent="0.25">
      <c r="A14" s="9" t="s">
        <v>42</v>
      </c>
      <c r="B14" s="9">
        <v>124</v>
      </c>
      <c r="C14" s="9"/>
      <c r="D14" s="9"/>
      <c r="E14" s="9"/>
      <c r="F14" s="9">
        <f>SUM(B14:D14)</f>
        <v>124</v>
      </c>
      <c r="G14" s="74">
        <f t="shared" si="17"/>
        <v>348.15384615384613</v>
      </c>
      <c r="H14" s="12"/>
      <c r="I14" s="77">
        <f>'one to one'!$O$3</f>
        <v>13.8</v>
      </c>
      <c r="J14" s="12">
        <v>1.1200000000000001</v>
      </c>
      <c r="K14" s="13">
        <f t="shared" si="18"/>
        <v>15108.37718343195</v>
      </c>
      <c r="L14" s="14">
        <f>1/4</f>
        <v>0.25</v>
      </c>
      <c r="M14" s="15">
        <f t="shared" si="2"/>
        <v>3777.0942958579876</v>
      </c>
    </row>
    <row r="15" spans="1:18" x14ac:dyDescent="0.25">
      <c r="A15" s="9" t="s">
        <v>56</v>
      </c>
      <c r="B15" s="9">
        <v>124</v>
      </c>
      <c r="C15" s="9"/>
      <c r="D15" s="9"/>
      <c r="E15" s="9"/>
      <c r="F15" s="9">
        <f>SUM(B15:D15)</f>
        <v>124</v>
      </c>
      <c r="G15" s="74">
        <f t="shared" si="17"/>
        <v>174.07692307692307</v>
      </c>
      <c r="H15" s="12"/>
      <c r="I15" s="77">
        <f>'one to one'!$O$3</f>
        <v>13.8</v>
      </c>
      <c r="J15" s="12">
        <v>1.1200000000000001</v>
      </c>
      <c r="K15" s="13">
        <f t="shared" si="18"/>
        <v>3777.0942958579876</v>
      </c>
      <c r="L15" s="14">
        <f>1/4</f>
        <v>0.25</v>
      </c>
      <c r="M15" s="15">
        <f t="shared" si="2"/>
        <v>944.2735739644969</v>
      </c>
    </row>
    <row r="16" spans="1:18" x14ac:dyDescent="0.25">
      <c r="A16" s="92" t="s">
        <v>58</v>
      </c>
      <c r="B16" s="92">
        <v>124</v>
      </c>
      <c r="C16" s="92"/>
      <c r="D16" s="92"/>
      <c r="E16" s="92"/>
      <c r="F16" s="92">
        <f t="shared" ref="F16:F17" si="19">SUM(B16:D16)</f>
        <v>124</v>
      </c>
      <c r="G16" s="74">
        <f t="shared" si="17"/>
        <v>55.323076923076925</v>
      </c>
      <c r="H16" s="12"/>
      <c r="I16" s="77">
        <f>'one to one'!$O$3</f>
        <v>13.8</v>
      </c>
      <c r="J16" s="12">
        <v>1.1200000000000001</v>
      </c>
      <c r="K16" s="13">
        <f t="shared" si="18"/>
        <v>381.49432047337291</v>
      </c>
      <c r="L16" s="14">
        <f t="shared" ref="L16:L18" si="20">1/4</f>
        <v>0.25</v>
      </c>
      <c r="M16" s="15">
        <f t="shared" ref="M16:M17" si="21">L16*K16</f>
        <v>95.373580118343227</v>
      </c>
    </row>
    <row r="17" spans="1:13" x14ac:dyDescent="0.25">
      <c r="A17" s="92" t="s">
        <v>173</v>
      </c>
      <c r="B17" s="92">
        <v>124</v>
      </c>
      <c r="C17" s="92"/>
      <c r="D17" s="92"/>
      <c r="E17" s="92"/>
      <c r="F17" s="92">
        <f t="shared" si="19"/>
        <v>124</v>
      </c>
      <c r="G17" s="74">
        <f t="shared" si="17"/>
        <v>55.323076923076925</v>
      </c>
      <c r="H17" s="12"/>
      <c r="I17" s="77">
        <f>'one to one'!$O$3</f>
        <v>13.8</v>
      </c>
      <c r="J17" s="12">
        <v>1.1200000000000001</v>
      </c>
      <c r="K17" s="13">
        <f t="shared" si="18"/>
        <v>381.49432047337291</v>
      </c>
      <c r="L17" s="14">
        <f t="shared" si="20"/>
        <v>0.25</v>
      </c>
      <c r="M17" s="15">
        <f t="shared" si="21"/>
        <v>95.373580118343227</v>
      </c>
    </row>
    <row r="18" spans="1:13" x14ac:dyDescent="0.25">
      <c r="A18" s="92" t="s">
        <v>175</v>
      </c>
      <c r="B18" s="92">
        <v>124</v>
      </c>
      <c r="C18" s="92"/>
      <c r="D18" s="92"/>
      <c r="E18" s="92"/>
      <c r="F18" s="92">
        <f t="shared" ref="F18" si="22">SUM(B18:D18)</f>
        <v>124</v>
      </c>
      <c r="G18" s="74">
        <f t="shared" si="17"/>
        <v>55.323076923076925</v>
      </c>
      <c r="H18" s="12"/>
      <c r="I18" s="77">
        <f>'one to one'!$O$3</f>
        <v>13.8</v>
      </c>
      <c r="J18" s="12">
        <v>1.1200000000000001</v>
      </c>
      <c r="K18" s="13">
        <f t="shared" si="18"/>
        <v>381.49432047337291</v>
      </c>
      <c r="L18" s="14">
        <f t="shared" si="20"/>
        <v>0.25</v>
      </c>
      <c r="M18" s="15">
        <f t="shared" ref="M18" si="23">L18*K18</f>
        <v>95.373580118343227</v>
      </c>
    </row>
    <row r="19" spans="1:13" x14ac:dyDescent="0.25">
      <c r="A19" s="9" t="s">
        <v>61</v>
      </c>
      <c r="B19" s="9">
        <v>124</v>
      </c>
      <c r="C19" s="9"/>
      <c r="D19" s="9"/>
      <c r="E19" s="9"/>
      <c r="F19" s="9">
        <f>SUM(B19:D19)</f>
        <v>124</v>
      </c>
      <c r="G19" s="74">
        <f t="shared" si="17"/>
        <v>174.07692307692307</v>
      </c>
      <c r="H19" s="12"/>
      <c r="I19" s="12">
        <v>23.19</v>
      </c>
      <c r="J19" s="12">
        <v>1.1200000000000001</v>
      </c>
      <c r="K19" s="13">
        <f t="shared" si="18"/>
        <v>6347.1606319526636</v>
      </c>
      <c r="L19" s="14">
        <f>1/4</f>
        <v>0.25</v>
      </c>
      <c r="M19" s="15">
        <f t="shared" ref="M19" si="24">L19*K19</f>
        <v>1586.7901579881659</v>
      </c>
    </row>
    <row r="20" spans="1:13" x14ac:dyDescent="0.25">
      <c r="A20" s="9"/>
      <c r="B20" s="9"/>
      <c r="C20" s="9"/>
      <c r="D20" s="9"/>
      <c r="E20" s="9"/>
      <c r="F20" s="9"/>
      <c r="G20" s="74"/>
      <c r="H20" s="12"/>
      <c r="I20" s="12"/>
      <c r="J20" s="12"/>
      <c r="K20" s="13"/>
      <c r="L20" s="14"/>
      <c r="M20" s="15"/>
    </row>
    <row r="21" spans="1:13" x14ac:dyDescent="0.25">
      <c r="I21" s="1"/>
      <c r="J21" s="1"/>
    </row>
    <row r="22" spans="1:13" x14ac:dyDescent="0.25">
      <c r="I22" s="1"/>
      <c r="L22" s="1" t="s">
        <v>20</v>
      </c>
      <c r="M22" s="2">
        <f>SUM(M3:M20)</f>
        <v>130141.54860544379</v>
      </c>
    </row>
    <row r="23" spans="1:13" x14ac:dyDescent="0.25">
      <c r="I23" s="1"/>
      <c r="L23" s="1" t="s">
        <v>21</v>
      </c>
      <c r="M23" s="2">
        <f>M22/347</f>
        <v>375.04769050560174</v>
      </c>
    </row>
    <row r="24" spans="1:13" x14ac:dyDescent="0.25">
      <c r="I24" s="1"/>
      <c r="J24" s="1"/>
    </row>
    <row r="25" spans="1:13" x14ac:dyDescent="0.2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x14ac:dyDescent="0.2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x14ac:dyDescent="0.2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x14ac:dyDescent="0.2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x14ac:dyDescent="0.2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x14ac:dyDescent="0.2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x14ac:dyDescent="0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x14ac:dyDescent="0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</row>
    <row r="36" spans="2:2" x14ac:dyDescent="0.25">
      <c r="B36" t="s">
        <v>55</v>
      </c>
    </row>
  </sheetData>
  <mergeCells count="1">
    <mergeCell ref="A25:M32"/>
  </mergeCells>
  <phoneticPr fontId="7" type="noConversion"/>
  <pageMargins left="0.7" right="0.7" top="0.75" bottom="0.75" header="0.3" footer="0.3"/>
  <pageSetup scale="87" orientation="landscape"/>
  <headerFooter>
    <oddHeader>&amp;C&amp;F //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0"/>
  <sheetViews>
    <sheetView topLeftCell="D7" zoomScale="110" zoomScaleNormal="110" workbookViewId="0">
      <selection activeCell="M27" sqref="M27"/>
    </sheetView>
  </sheetViews>
  <sheetFormatPr defaultColWidth="8.85546875" defaultRowHeight="15" x14ac:dyDescent="0.25"/>
  <cols>
    <col min="1" max="1" width="14.28515625" bestFit="1" customWidth="1"/>
    <col min="6" max="6" width="10.85546875" customWidth="1"/>
    <col min="7" max="7" width="9.42578125" bestFit="1" customWidth="1"/>
    <col min="8" max="8" width="9.42578125" customWidth="1"/>
    <col min="11" max="11" width="14.28515625" customWidth="1"/>
    <col min="12" max="12" width="10.7109375" customWidth="1"/>
    <col min="13" max="13" width="14.7109375" customWidth="1"/>
    <col min="15" max="15" width="12.42578125" bestFit="1" customWidth="1"/>
  </cols>
  <sheetData>
    <row r="2" spans="1:18" ht="30" x14ac:dyDescent="0.25">
      <c r="A2" s="3"/>
      <c r="B2" s="4" t="s">
        <v>3</v>
      </c>
      <c r="C2" s="5" t="s">
        <v>4</v>
      </c>
      <c r="D2" s="5" t="s">
        <v>5</v>
      </c>
      <c r="E2" s="5" t="s">
        <v>7</v>
      </c>
      <c r="F2" s="5" t="s">
        <v>8</v>
      </c>
      <c r="G2" s="5" t="s">
        <v>9</v>
      </c>
      <c r="H2" s="5" t="s">
        <v>19</v>
      </c>
      <c r="I2" s="5" t="s">
        <v>10</v>
      </c>
      <c r="J2" s="5" t="s">
        <v>30</v>
      </c>
      <c r="K2" s="5" t="s">
        <v>23</v>
      </c>
      <c r="L2" s="5" t="s">
        <v>22</v>
      </c>
      <c r="M2" s="5" t="s">
        <v>24</v>
      </c>
    </row>
    <row r="3" spans="1:18" x14ac:dyDescent="0.25">
      <c r="A3" s="3" t="s">
        <v>6</v>
      </c>
      <c r="B3" s="9">
        <v>6</v>
      </c>
      <c r="C3" s="9">
        <v>8</v>
      </c>
      <c r="D3" s="9">
        <v>8</v>
      </c>
      <c r="E3" s="9">
        <f>SUM(B3:D3)</f>
        <v>22</v>
      </c>
      <c r="F3" s="9">
        <v>365</v>
      </c>
      <c r="G3" s="19">
        <f t="shared" ref="G3:G12" si="0">+E3*F3</f>
        <v>8030</v>
      </c>
      <c r="H3" s="11">
        <f t="shared" ref="H3:H15" si="1">+G3/2080</f>
        <v>3.8605769230769229</v>
      </c>
      <c r="I3" s="77">
        <f>'one to one'!$O$3</f>
        <v>13.8</v>
      </c>
      <c r="J3" s="12">
        <v>1.2</v>
      </c>
      <c r="K3" s="13">
        <f t="shared" ref="K3:K15" si="2">G3*I3*J3</f>
        <v>132976.79999999999</v>
      </c>
      <c r="L3" s="14">
        <f>1/6</f>
        <v>0.16666666666666666</v>
      </c>
      <c r="M3" s="15">
        <f t="shared" ref="M3:M23" si="3">L3*K3</f>
        <v>22162.799999999996</v>
      </c>
    </row>
    <row r="4" spans="1:18" x14ac:dyDescent="0.25">
      <c r="A4" s="3" t="s">
        <v>16</v>
      </c>
      <c r="B4" s="9"/>
      <c r="C4" s="9">
        <v>8</v>
      </c>
      <c r="D4" s="9">
        <v>8</v>
      </c>
      <c r="E4" s="9">
        <f>SUM(B4:D4)</f>
        <v>16</v>
      </c>
      <c r="F4" s="9">
        <v>365</v>
      </c>
      <c r="G4" s="19">
        <f t="shared" si="0"/>
        <v>5840</v>
      </c>
      <c r="H4" s="11">
        <f t="shared" si="1"/>
        <v>2.8076923076923075</v>
      </c>
      <c r="I4" s="77">
        <f>'one to one'!$O$3</f>
        <v>13.8</v>
      </c>
      <c r="J4" s="12">
        <v>1.2</v>
      </c>
      <c r="K4" s="13">
        <f t="shared" si="2"/>
        <v>96710.399999999994</v>
      </c>
      <c r="L4" s="14">
        <f>1/6</f>
        <v>0.16666666666666666</v>
      </c>
      <c r="M4" s="15">
        <f t="shared" si="3"/>
        <v>16118.399999999998</v>
      </c>
      <c r="P4" t="s">
        <v>210</v>
      </c>
      <c r="Q4">
        <v>1.4705882352941178E-2</v>
      </c>
      <c r="R4" t="s">
        <v>211</v>
      </c>
    </row>
    <row r="5" spans="1:18" x14ac:dyDescent="0.25">
      <c r="A5" s="3" t="s">
        <v>25</v>
      </c>
      <c r="B5" s="9"/>
      <c r="C5" s="9">
        <v>8</v>
      </c>
      <c r="D5" s="9"/>
      <c r="E5" s="9">
        <v>8</v>
      </c>
      <c r="F5" s="9">
        <v>365</v>
      </c>
      <c r="G5" s="19">
        <f t="shared" si="0"/>
        <v>2920</v>
      </c>
      <c r="H5" s="11">
        <f t="shared" si="1"/>
        <v>1.4038461538461537</v>
      </c>
      <c r="I5" s="77">
        <f>'one to one'!$O$3</f>
        <v>13.8</v>
      </c>
      <c r="J5" s="12">
        <v>1.2</v>
      </c>
      <c r="K5" s="13">
        <f t="shared" si="2"/>
        <v>48355.199999999997</v>
      </c>
      <c r="L5" s="14">
        <f t="shared" ref="L5:L10" si="4">1/6</f>
        <v>0.16666666666666666</v>
      </c>
      <c r="M5" s="15">
        <f t="shared" si="3"/>
        <v>8059.1999999999989</v>
      </c>
      <c r="O5" t="s">
        <v>11</v>
      </c>
      <c r="P5">
        <v>22.85</v>
      </c>
      <c r="Q5">
        <v>0.33602941176470597</v>
      </c>
      <c r="R5" s="60">
        <v>23.186029411764707</v>
      </c>
    </row>
    <row r="6" spans="1:18" x14ac:dyDescent="0.25">
      <c r="A6" s="3" t="s">
        <v>25</v>
      </c>
      <c r="B6" s="92"/>
      <c r="C6" s="92">
        <v>8</v>
      </c>
      <c r="D6" s="92"/>
      <c r="E6" s="92">
        <v>8</v>
      </c>
      <c r="F6" s="92">
        <v>365</v>
      </c>
      <c r="G6" s="19">
        <f t="shared" ref="G6" si="5">+E6*F6</f>
        <v>2920</v>
      </c>
      <c r="H6" s="11">
        <f t="shared" ref="H6" si="6">+G6/2080</f>
        <v>1.4038461538461537</v>
      </c>
      <c r="I6" s="77">
        <f>'one to one'!$O$3</f>
        <v>13.8</v>
      </c>
      <c r="J6" s="12">
        <v>1.2</v>
      </c>
      <c r="K6" s="13">
        <f t="shared" ref="K6" si="7">G6*I6*J6</f>
        <v>48355.199999999997</v>
      </c>
      <c r="L6" s="14">
        <f t="shared" si="4"/>
        <v>0.16666666666666666</v>
      </c>
      <c r="M6" s="15">
        <f t="shared" ref="M6" si="8">L6*K6</f>
        <v>8059.1999999999989</v>
      </c>
      <c r="O6" t="s">
        <v>12</v>
      </c>
      <c r="P6">
        <v>36.61</v>
      </c>
      <c r="Q6">
        <v>0.53838235294117653</v>
      </c>
      <c r="R6" s="60">
        <v>37.148382352941177</v>
      </c>
    </row>
    <row r="7" spans="1:18" x14ac:dyDescent="0.25">
      <c r="A7" s="3" t="s">
        <v>176</v>
      </c>
      <c r="B7" s="92">
        <v>6</v>
      </c>
      <c r="C7" s="92"/>
      <c r="D7" s="92"/>
      <c r="E7" s="92">
        <v>6</v>
      </c>
      <c r="F7" s="92">
        <v>116</v>
      </c>
      <c r="G7" s="19">
        <f t="shared" ref="G7:G10" si="9">+E7*F7</f>
        <v>696</v>
      </c>
      <c r="H7" s="11">
        <f t="shared" ref="H7:H10" si="10">+G7/2080</f>
        <v>0.33461538461538459</v>
      </c>
      <c r="I7" s="77">
        <f>'one to one'!$O$3</f>
        <v>13.8</v>
      </c>
      <c r="J7" s="12">
        <v>1.2</v>
      </c>
      <c r="K7" s="13">
        <f t="shared" ref="K7:K10" si="11">G7*I7*J7</f>
        <v>11525.76</v>
      </c>
      <c r="L7" s="14">
        <f t="shared" si="4"/>
        <v>0.16666666666666666</v>
      </c>
      <c r="M7" s="15">
        <f t="shared" ref="M7:M10" si="12">L7*K7</f>
        <v>1920.96</v>
      </c>
      <c r="O7" t="s">
        <v>13</v>
      </c>
      <c r="P7">
        <v>31.38</v>
      </c>
      <c r="Q7">
        <v>0.46147058823529413</v>
      </c>
      <c r="R7" s="60">
        <v>31.841470588235293</v>
      </c>
    </row>
    <row r="8" spans="1:18" x14ac:dyDescent="0.25">
      <c r="A8" s="3" t="s">
        <v>177</v>
      </c>
      <c r="B8" s="92">
        <v>8</v>
      </c>
      <c r="C8" s="92"/>
      <c r="D8" s="92"/>
      <c r="E8" s="92">
        <v>8</v>
      </c>
      <c r="F8" s="92">
        <v>116</v>
      </c>
      <c r="G8" s="19">
        <f t="shared" ref="G8:G9" si="13">+E8*F8</f>
        <v>928</v>
      </c>
      <c r="H8" s="11">
        <f t="shared" ref="H8:H9" si="14">+G8/2080</f>
        <v>0.44615384615384618</v>
      </c>
      <c r="I8" s="77">
        <f>'one to one'!$O$3</f>
        <v>13.8</v>
      </c>
      <c r="J8" s="12">
        <v>1.2</v>
      </c>
      <c r="K8" s="13">
        <f t="shared" ref="K8:K9" si="15">G8*I8*J8</f>
        <v>15367.68</v>
      </c>
      <c r="L8" s="14">
        <f t="shared" si="4"/>
        <v>0.16666666666666666</v>
      </c>
      <c r="M8" s="15">
        <f t="shared" ref="M8:M9" si="16">L8*K8</f>
        <v>2561.2799999999997</v>
      </c>
      <c r="O8" t="s">
        <v>14</v>
      </c>
      <c r="P8">
        <v>23.53</v>
      </c>
      <c r="Q8">
        <v>0.34602941176470592</v>
      </c>
      <c r="R8" s="60">
        <v>23.876029411764708</v>
      </c>
    </row>
    <row r="9" spans="1:18" x14ac:dyDescent="0.25">
      <c r="A9" s="3" t="s">
        <v>174</v>
      </c>
      <c r="B9" s="92">
        <v>8</v>
      </c>
      <c r="C9" s="92"/>
      <c r="D9" s="92"/>
      <c r="E9" s="92">
        <v>8</v>
      </c>
      <c r="F9" s="92">
        <v>116</v>
      </c>
      <c r="G9" s="19">
        <f t="shared" si="13"/>
        <v>928</v>
      </c>
      <c r="H9" s="11">
        <f t="shared" si="14"/>
        <v>0.44615384615384618</v>
      </c>
      <c r="I9" s="77">
        <f>'one to one'!$O$3</f>
        <v>13.8</v>
      </c>
      <c r="J9" s="12">
        <v>1.2</v>
      </c>
      <c r="K9" s="13">
        <f t="shared" si="15"/>
        <v>15367.68</v>
      </c>
      <c r="L9" s="14">
        <f t="shared" si="4"/>
        <v>0.16666666666666666</v>
      </c>
      <c r="M9" s="15">
        <f t="shared" si="16"/>
        <v>2561.2799999999997</v>
      </c>
    </row>
    <row r="10" spans="1:18" x14ac:dyDescent="0.25">
      <c r="A10" s="3" t="s">
        <v>182</v>
      </c>
      <c r="B10" s="92">
        <v>8</v>
      </c>
      <c r="C10" s="92"/>
      <c r="D10" s="92"/>
      <c r="E10" s="92">
        <v>8</v>
      </c>
      <c r="F10" s="92">
        <v>116</v>
      </c>
      <c r="G10" s="19">
        <f t="shared" si="9"/>
        <v>928</v>
      </c>
      <c r="H10" s="11">
        <f t="shared" si="10"/>
        <v>0.44615384615384618</v>
      </c>
      <c r="I10" s="77">
        <f>'one to one'!$O$3</f>
        <v>13.8</v>
      </c>
      <c r="J10" s="12">
        <v>1.2</v>
      </c>
      <c r="K10" s="13">
        <f t="shared" si="11"/>
        <v>15367.68</v>
      </c>
      <c r="L10" s="14">
        <f t="shared" si="4"/>
        <v>0.16666666666666666</v>
      </c>
      <c r="M10" s="15">
        <f t="shared" si="12"/>
        <v>2561.2799999999997</v>
      </c>
    </row>
    <row r="11" spans="1:18" x14ac:dyDescent="0.25">
      <c r="A11" s="37" t="s">
        <v>41</v>
      </c>
      <c r="B11" s="36">
        <f>72/7</f>
        <v>10.285714285714286</v>
      </c>
      <c r="C11" s="9"/>
      <c r="D11" s="9"/>
      <c r="E11" s="36">
        <f>SUM(B11:D11)</f>
        <v>10.285714285714286</v>
      </c>
      <c r="F11" s="9">
        <v>365</v>
      </c>
      <c r="G11" s="19">
        <f t="shared" si="0"/>
        <v>3754.2857142857147</v>
      </c>
      <c r="H11" s="11">
        <f t="shared" si="1"/>
        <v>1.8049450549450552</v>
      </c>
      <c r="I11" s="12">
        <v>23.19</v>
      </c>
      <c r="J11" s="12">
        <v>1.2</v>
      </c>
      <c r="K11" s="13">
        <f t="shared" si="2"/>
        <v>104474.26285714288</v>
      </c>
      <c r="L11" s="14">
        <f>1/6</f>
        <v>0.16666666666666666</v>
      </c>
      <c r="M11" s="15">
        <f t="shared" si="3"/>
        <v>17412.377142857145</v>
      </c>
    </row>
    <row r="12" spans="1:18" x14ac:dyDescent="0.25">
      <c r="A12" s="3" t="s">
        <v>31</v>
      </c>
      <c r="B12" s="9"/>
      <c r="C12" s="9">
        <v>8</v>
      </c>
      <c r="D12" s="9"/>
      <c r="E12" s="9">
        <f>SUM(B12:D12)</f>
        <v>8</v>
      </c>
      <c r="F12" s="9">
        <v>365</v>
      </c>
      <c r="G12" s="19">
        <f t="shared" si="0"/>
        <v>2920</v>
      </c>
      <c r="H12" s="11">
        <f t="shared" si="1"/>
        <v>1.4038461538461537</v>
      </c>
      <c r="I12" s="12">
        <v>37.15</v>
      </c>
      <c r="J12" s="12">
        <v>1.2</v>
      </c>
      <c r="K12" s="13">
        <f t="shared" si="2"/>
        <v>130173.59999999999</v>
      </c>
      <c r="L12" s="14">
        <f>1/6</f>
        <v>0.16666666666666666</v>
      </c>
      <c r="M12" s="15">
        <f t="shared" si="3"/>
        <v>21695.599999999999</v>
      </c>
    </row>
    <row r="13" spans="1:18" x14ac:dyDescent="0.25">
      <c r="A13" s="3" t="s">
        <v>12</v>
      </c>
      <c r="B13" s="9">
        <v>8</v>
      </c>
      <c r="C13" s="9"/>
      <c r="D13" s="9"/>
      <c r="E13" s="9"/>
      <c r="F13" s="9"/>
      <c r="G13" s="10">
        <v>2080</v>
      </c>
      <c r="H13" s="11">
        <f t="shared" si="1"/>
        <v>1</v>
      </c>
      <c r="I13" s="12">
        <v>31.84</v>
      </c>
      <c r="J13" s="12">
        <v>1.2</v>
      </c>
      <c r="K13" s="13">
        <f t="shared" si="2"/>
        <v>79472.639999999999</v>
      </c>
      <c r="L13" s="14">
        <f>1/12</f>
        <v>8.3333333333333329E-2</v>
      </c>
      <c r="M13" s="15">
        <f t="shared" si="3"/>
        <v>6622.7199999999993</v>
      </c>
    </row>
    <row r="14" spans="1:18" x14ac:dyDescent="0.25">
      <c r="A14" s="3" t="s">
        <v>13</v>
      </c>
      <c r="B14" s="9">
        <v>8</v>
      </c>
      <c r="C14" s="9"/>
      <c r="D14" s="9"/>
      <c r="E14" s="9"/>
      <c r="F14" s="9"/>
      <c r="G14" s="10">
        <v>2080</v>
      </c>
      <c r="H14" s="11">
        <f t="shared" si="1"/>
        <v>1</v>
      </c>
      <c r="I14" s="77">
        <v>31.84</v>
      </c>
      <c r="J14" s="12">
        <v>1.2</v>
      </c>
      <c r="K14" s="13">
        <f t="shared" si="2"/>
        <v>79472.639999999999</v>
      </c>
      <c r="L14" s="14">
        <f>1/12</f>
        <v>8.3333333333333329E-2</v>
      </c>
      <c r="M14" s="15">
        <f t="shared" si="3"/>
        <v>6622.7199999999993</v>
      </c>
    </row>
    <row r="15" spans="1:18" x14ac:dyDescent="0.25">
      <c r="A15" s="3" t="s">
        <v>14</v>
      </c>
      <c r="B15" s="9">
        <v>8</v>
      </c>
      <c r="C15" s="9"/>
      <c r="D15" s="9"/>
      <c r="E15" s="9"/>
      <c r="F15" s="9"/>
      <c r="G15" s="10">
        <v>2080</v>
      </c>
      <c r="H15" s="11">
        <f t="shared" si="1"/>
        <v>1</v>
      </c>
      <c r="I15" s="77">
        <v>23.88</v>
      </c>
      <c r="J15" s="12">
        <v>1.2</v>
      </c>
      <c r="K15" s="13">
        <f t="shared" si="2"/>
        <v>59604.479999999996</v>
      </c>
      <c r="L15" s="14">
        <f>1/12</f>
        <v>8.3333333333333329E-2</v>
      </c>
      <c r="M15" s="15">
        <f t="shared" si="3"/>
        <v>4967.0399999999991</v>
      </c>
    </row>
    <row r="16" spans="1:18" x14ac:dyDescent="0.25">
      <c r="A16" s="3" t="s">
        <v>43</v>
      </c>
      <c r="B16" s="9">
        <v>124</v>
      </c>
      <c r="C16" s="9"/>
      <c r="D16" s="9"/>
      <c r="E16" s="9"/>
      <c r="F16" s="9">
        <f>SUM(B16:D16)</f>
        <v>124</v>
      </c>
      <c r="G16" s="74">
        <f>H3*F16</f>
        <v>478.71153846153845</v>
      </c>
      <c r="H16" s="12"/>
      <c r="I16" s="77">
        <f>'one to one'!$O$3</f>
        <v>13.8</v>
      </c>
      <c r="J16" s="12">
        <v>1.1200000000000001</v>
      </c>
      <c r="K16" s="13">
        <f>G16*I16*J16*H3</f>
        <v>28564.275612426041</v>
      </c>
      <c r="L16" s="14">
        <f t="shared" ref="L16:L24" si="17">1/6</f>
        <v>0.16666666666666666</v>
      </c>
      <c r="M16" s="15">
        <f t="shared" si="3"/>
        <v>4760.7126020710066</v>
      </c>
    </row>
    <row r="17" spans="1:15" x14ac:dyDescent="0.25">
      <c r="A17" s="3" t="s">
        <v>42</v>
      </c>
      <c r="B17" s="9">
        <v>124</v>
      </c>
      <c r="C17" s="9"/>
      <c r="D17" s="9"/>
      <c r="E17" s="9"/>
      <c r="F17" s="9">
        <f>SUM(B17:D17)</f>
        <v>124</v>
      </c>
      <c r="G17" s="74">
        <f>H4*F17</f>
        <v>348.15384615384613</v>
      </c>
      <c r="H17" s="12"/>
      <c r="I17" s="77">
        <f>'one to one'!$O$3</f>
        <v>13.8</v>
      </c>
      <c r="J17" s="12">
        <v>1.1200000000000001</v>
      </c>
      <c r="K17" s="13">
        <f>G17*I17*J17*H4</f>
        <v>15108.37718343195</v>
      </c>
      <c r="L17" s="14">
        <f t="shared" si="17"/>
        <v>0.16666666666666666</v>
      </c>
      <c r="M17" s="15">
        <f t="shared" si="3"/>
        <v>2518.0628639053248</v>
      </c>
    </row>
    <row r="18" spans="1:15" x14ac:dyDescent="0.25">
      <c r="A18" s="3" t="s">
        <v>45</v>
      </c>
      <c r="B18" s="9">
        <v>124</v>
      </c>
      <c r="C18" s="9"/>
      <c r="D18" s="9"/>
      <c r="E18" s="9"/>
      <c r="F18" s="9">
        <v>124</v>
      </c>
      <c r="G18" s="74">
        <f>H5*F18</f>
        <v>174.07692307692307</v>
      </c>
      <c r="H18" s="9"/>
      <c r="I18" s="77">
        <f>'one to one'!$O$3</f>
        <v>13.8</v>
      </c>
      <c r="J18" s="12">
        <v>1.1200000000000001</v>
      </c>
      <c r="K18" s="13">
        <f>G18*I18*J18*H12</f>
        <v>3777.0942958579876</v>
      </c>
      <c r="L18" s="14">
        <f t="shared" si="17"/>
        <v>0.16666666666666666</v>
      </c>
      <c r="M18" s="15">
        <f t="shared" si="3"/>
        <v>629.51571597633119</v>
      </c>
    </row>
    <row r="19" spans="1:15" x14ac:dyDescent="0.25">
      <c r="A19" s="3" t="s">
        <v>58</v>
      </c>
      <c r="B19" s="9">
        <v>124</v>
      </c>
      <c r="C19" s="9"/>
      <c r="D19" s="9"/>
      <c r="E19" s="9"/>
      <c r="F19" s="9">
        <f>SUM(B19:D19)</f>
        <v>124</v>
      </c>
      <c r="G19" s="74">
        <f>H7*F19</f>
        <v>41.492307692307691</v>
      </c>
      <c r="H19" s="12"/>
      <c r="I19" s="77">
        <f>'one to one'!$O$3</f>
        <v>13.8</v>
      </c>
      <c r="J19" s="12">
        <v>1.1200000000000001</v>
      </c>
      <c r="K19" s="13">
        <f>G19*I19*J19*H11</f>
        <v>1157.5204828402368</v>
      </c>
      <c r="L19" s="14">
        <f t="shared" si="17"/>
        <v>0.16666666666666666</v>
      </c>
      <c r="M19" s="15">
        <f t="shared" si="3"/>
        <v>192.92008047337279</v>
      </c>
    </row>
    <row r="20" spans="1:15" x14ac:dyDescent="0.25">
      <c r="A20" s="3" t="s">
        <v>173</v>
      </c>
      <c r="B20" s="92">
        <v>124</v>
      </c>
      <c r="C20" s="92"/>
      <c r="D20" s="92"/>
      <c r="E20" s="92"/>
      <c r="F20" s="92">
        <f t="shared" ref="F20" si="18">SUM(B20:D20)</f>
        <v>124</v>
      </c>
      <c r="G20" s="74">
        <f>H10*F20</f>
        <v>55.323076923076925</v>
      </c>
      <c r="H20" s="44"/>
      <c r="I20" s="77">
        <f>'one to one'!$O$3</f>
        <v>13.8</v>
      </c>
      <c r="J20" s="12">
        <v>1.1200000000000001</v>
      </c>
      <c r="K20" s="13">
        <f t="shared" ref="K20" si="19">G20*I20*J20*H12</f>
        <v>1200.3916118343197</v>
      </c>
      <c r="L20" s="14">
        <f t="shared" si="17"/>
        <v>0.16666666666666666</v>
      </c>
      <c r="M20" s="15">
        <f t="shared" ref="M20" si="20">L20*K20</f>
        <v>200.06526863905327</v>
      </c>
    </row>
    <row r="21" spans="1:15" x14ac:dyDescent="0.25">
      <c r="A21" s="3" t="s">
        <v>175</v>
      </c>
      <c r="B21" s="92">
        <v>124</v>
      </c>
      <c r="C21" s="92"/>
      <c r="D21" s="92"/>
      <c r="E21" s="92"/>
      <c r="F21" s="92">
        <f t="shared" ref="F21:F22" si="21">SUM(B21:D21)</f>
        <v>124</v>
      </c>
      <c r="G21" s="74">
        <f>H9*F21</f>
        <v>55.323076923076925</v>
      </c>
      <c r="H21" s="44"/>
      <c r="I21" s="77">
        <f>'one to one'!$O$3</f>
        <v>13.8</v>
      </c>
      <c r="J21" s="12">
        <v>1.1200000000000001</v>
      </c>
      <c r="K21" s="13">
        <f t="shared" ref="K21:K22" si="22">G21*I21*J21*H13</f>
        <v>855.07347692307712</v>
      </c>
      <c r="L21" s="14">
        <f t="shared" si="17"/>
        <v>0.16666666666666666</v>
      </c>
      <c r="M21" s="15">
        <f t="shared" ref="M21:M22" si="23">L21*K21</f>
        <v>142.51224615384618</v>
      </c>
    </row>
    <row r="22" spans="1:15" x14ac:dyDescent="0.25">
      <c r="A22" s="3" t="s">
        <v>183</v>
      </c>
      <c r="B22" s="92">
        <v>124</v>
      </c>
      <c r="C22" s="92"/>
      <c r="D22" s="92"/>
      <c r="E22" s="92"/>
      <c r="F22" s="92">
        <f t="shared" si="21"/>
        <v>124</v>
      </c>
      <c r="G22" s="74">
        <f>H10*F22</f>
        <v>55.323076923076925</v>
      </c>
      <c r="H22" s="44"/>
      <c r="I22" s="77">
        <f>'one to one'!$O$3</f>
        <v>13.8</v>
      </c>
      <c r="J22" s="12">
        <v>1.1200000000000001</v>
      </c>
      <c r="K22" s="13">
        <f t="shared" si="22"/>
        <v>855.07347692307712</v>
      </c>
      <c r="L22" s="14">
        <f t="shared" si="17"/>
        <v>0.16666666666666666</v>
      </c>
      <c r="M22" s="15">
        <f t="shared" si="23"/>
        <v>142.51224615384618</v>
      </c>
    </row>
    <row r="23" spans="1:15" x14ac:dyDescent="0.25">
      <c r="A23" s="45" t="s">
        <v>59</v>
      </c>
      <c r="B23" s="9">
        <v>124</v>
      </c>
      <c r="C23" s="9"/>
      <c r="D23" s="9"/>
      <c r="E23" s="9"/>
      <c r="F23" s="9">
        <f>SUM(B23:D23)</f>
        <v>124</v>
      </c>
      <c r="G23" s="74">
        <f>H11*F23</f>
        <v>223.81318681318683</v>
      </c>
      <c r="H23" s="44"/>
      <c r="I23" s="12">
        <v>23.19</v>
      </c>
      <c r="J23" s="12">
        <v>1.1200000000000001</v>
      </c>
      <c r="K23" s="13">
        <f>G23*I23*J23*H12</f>
        <v>8160.6350982248523</v>
      </c>
      <c r="L23" s="14">
        <f t="shared" si="17"/>
        <v>0.16666666666666666</v>
      </c>
      <c r="M23" s="15">
        <f t="shared" si="3"/>
        <v>1360.105849704142</v>
      </c>
    </row>
    <row r="24" spans="1:15" x14ac:dyDescent="0.25">
      <c r="A24" s="45" t="s">
        <v>31</v>
      </c>
      <c r="B24" s="9">
        <v>124</v>
      </c>
      <c r="C24" s="9"/>
      <c r="D24" s="9"/>
      <c r="E24" s="9"/>
      <c r="F24" s="9">
        <f>SUM(B24:D24)</f>
        <v>124</v>
      </c>
      <c r="G24" s="74">
        <f>H12*F24</f>
        <v>174.07692307692307</v>
      </c>
      <c r="H24" s="44"/>
      <c r="I24" s="12">
        <v>23.19</v>
      </c>
      <c r="J24" s="12">
        <v>1.1200000000000001</v>
      </c>
      <c r="K24" s="13">
        <f>G24*I24*J24*H13</f>
        <v>4521.2651076923084</v>
      </c>
      <c r="L24" s="14">
        <f t="shared" si="17"/>
        <v>0.16666666666666666</v>
      </c>
      <c r="M24" s="15">
        <f t="shared" ref="M24" si="24">L24*K24</f>
        <v>753.54418461538467</v>
      </c>
    </row>
    <row r="25" spans="1:15" x14ac:dyDescent="0.25">
      <c r="I25" s="1"/>
      <c r="L25" s="1" t="s">
        <v>20</v>
      </c>
      <c r="M25" s="2">
        <f>SUM(M3:M23)</f>
        <v>131271.26401593405</v>
      </c>
      <c r="O25" s="2"/>
    </row>
    <row r="26" spans="1:15" x14ac:dyDescent="0.25">
      <c r="I26" s="1"/>
      <c r="L26" s="1" t="s">
        <v>21</v>
      </c>
      <c r="M26" s="2">
        <f>M25/347</f>
        <v>378.30335451277824</v>
      </c>
      <c r="O26" s="2"/>
    </row>
    <row r="30" spans="1:15" ht="15" customHeight="1" x14ac:dyDescent="0.25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5" x14ac:dyDescent="0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5" x14ac:dyDescent="0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x14ac:dyDescent="0.2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 x14ac:dyDescent="0.2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</row>
    <row r="35" spans="1:13" x14ac:dyDescent="0.2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</row>
    <row r="36" spans="1:13" x14ac:dyDescent="0.2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</row>
    <row r="37" spans="1:13" x14ac:dyDescent="0.2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</row>
    <row r="38" spans="1:13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x14ac:dyDescent="0.25">
      <c r="B39" t="s">
        <v>57</v>
      </c>
    </row>
    <row r="40" spans="1:13" x14ac:dyDescent="0.25">
      <c r="B40" t="s">
        <v>60</v>
      </c>
    </row>
  </sheetData>
  <mergeCells count="1">
    <mergeCell ref="A30:M37"/>
  </mergeCells>
  <phoneticPr fontId="7" type="noConversion"/>
  <pageMargins left="0.7" right="0.7" top="0.75" bottom="0.75" header="0.3" footer="0.3"/>
  <pageSetup scale="89" orientation="landscape"/>
  <headerFooter>
    <oddHeader>&amp;C&amp;F //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workbookViewId="0">
      <selection activeCell="A46" sqref="A46:M53"/>
    </sheetView>
  </sheetViews>
  <sheetFormatPr defaultColWidth="8.85546875" defaultRowHeight="15" x14ac:dyDescent="0.25"/>
  <cols>
    <col min="1" max="1" width="17.28515625" customWidth="1"/>
    <col min="6" max="6" width="10.85546875" customWidth="1"/>
    <col min="7" max="7" width="9.42578125" bestFit="1" customWidth="1"/>
    <col min="8" max="8" width="9.42578125" customWidth="1"/>
    <col min="11" max="11" width="12.42578125" bestFit="1" customWidth="1"/>
    <col min="12" max="12" width="10.7109375" customWidth="1"/>
    <col min="13" max="13" width="14.7109375" customWidth="1"/>
    <col min="14" max="14" width="12.42578125" bestFit="1" customWidth="1"/>
  </cols>
  <sheetData>
    <row r="1" spans="1:18" x14ac:dyDescent="0.25">
      <c r="A1" t="s">
        <v>149</v>
      </c>
      <c r="C1" s="99" t="s">
        <v>207</v>
      </c>
      <c r="D1" s="99"/>
    </row>
    <row r="2" spans="1:18" ht="30" x14ac:dyDescent="0.25">
      <c r="A2" s="3"/>
      <c r="B2" s="4" t="s">
        <v>3</v>
      </c>
      <c r="C2" s="5" t="s">
        <v>4</v>
      </c>
      <c r="D2" s="5" t="s">
        <v>5</v>
      </c>
      <c r="E2" s="5" t="s">
        <v>7</v>
      </c>
      <c r="F2" s="5" t="s">
        <v>8</v>
      </c>
      <c r="G2" s="5" t="s">
        <v>9</v>
      </c>
      <c r="H2" s="5" t="s">
        <v>19</v>
      </c>
      <c r="I2" s="5" t="s">
        <v>10</v>
      </c>
      <c r="J2" s="5" t="s">
        <v>30</v>
      </c>
      <c r="K2" s="5" t="s">
        <v>23</v>
      </c>
      <c r="L2" s="5" t="s">
        <v>22</v>
      </c>
      <c r="M2" s="5" t="s">
        <v>24</v>
      </c>
      <c r="P2" t="s">
        <v>210</v>
      </c>
      <c r="Q2">
        <v>1.4705882352941178E-2</v>
      </c>
      <c r="R2" t="s">
        <v>211</v>
      </c>
    </row>
    <row r="3" spans="1:18" x14ac:dyDescent="0.25">
      <c r="A3" s="3" t="s">
        <v>6</v>
      </c>
      <c r="B3" s="54"/>
      <c r="C3" s="54">
        <v>8</v>
      </c>
      <c r="D3" s="54">
        <v>8</v>
      </c>
      <c r="E3" s="54">
        <f>SUM(B3:D3)</f>
        <v>16</v>
      </c>
      <c r="F3" s="54">
        <v>365</v>
      </c>
      <c r="G3" s="19">
        <f t="shared" ref="G3:G9" si="0">+E3*F3</f>
        <v>5840</v>
      </c>
      <c r="H3" s="11">
        <f t="shared" ref="H3:H12" si="1">+G3/2080</f>
        <v>2.8076923076923075</v>
      </c>
      <c r="I3" s="77">
        <f>'one to one'!$O$3</f>
        <v>13.8</v>
      </c>
      <c r="J3" s="12">
        <v>1.2</v>
      </c>
      <c r="K3" s="13">
        <f t="shared" ref="K3:K12" si="2">G3*I3*J3</f>
        <v>96710.399999999994</v>
      </c>
      <c r="L3" s="14">
        <f>1/4</f>
        <v>0.25</v>
      </c>
      <c r="M3" s="15">
        <f t="shared" ref="M3:M18" si="3">L3*K3</f>
        <v>24177.599999999999</v>
      </c>
      <c r="O3" t="s">
        <v>11</v>
      </c>
      <c r="P3">
        <v>22.85</v>
      </c>
      <c r="Q3">
        <v>0.33602941176470597</v>
      </c>
      <c r="R3" s="60">
        <v>23.186029411764707</v>
      </c>
    </row>
    <row r="4" spans="1:18" x14ac:dyDescent="0.25">
      <c r="A4" s="3" t="s">
        <v>118</v>
      </c>
      <c r="B4" s="54">
        <v>4</v>
      </c>
      <c r="C4" s="54">
        <v>8</v>
      </c>
      <c r="D4" s="54">
        <v>8</v>
      </c>
      <c r="E4" s="54">
        <f>SUM(B4:D4)</f>
        <v>20</v>
      </c>
      <c r="F4" s="54">
        <v>365</v>
      </c>
      <c r="G4" s="19">
        <f t="shared" si="0"/>
        <v>7300</v>
      </c>
      <c r="H4" s="11">
        <f t="shared" si="1"/>
        <v>3.5096153846153846</v>
      </c>
      <c r="I4" s="12">
        <v>23.19</v>
      </c>
      <c r="J4" s="12">
        <v>1.2</v>
      </c>
      <c r="K4" s="13">
        <f t="shared" si="2"/>
        <v>203144.4</v>
      </c>
      <c r="L4" s="14">
        <f t="shared" ref="L4:L9" si="4">1/4</f>
        <v>0.25</v>
      </c>
      <c r="M4" s="15">
        <f t="shared" si="3"/>
        <v>50786.1</v>
      </c>
      <c r="O4" t="s">
        <v>12</v>
      </c>
      <c r="P4">
        <v>36.61</v>
      </c>
      <c r="Q4">
        <v>0.53838235294117653</v>
      </c>
      <c r="R4" s="60">
        <v>37.148382352941177</v>
      </c>
    </row>
    <row r="5" spans="1:18" x14ac:dyDescent="0.25">
      <c r="A5" s="3" t="s">
        <v>119</v>
      </c>
      <c r="B5" s="54"/>
      <c r="C5" s="54">
        <v>8</v>
      </c>
      <c r="D5" s="54"/>
      <c r="E5" s="54">
        <v>8</v>
      </c>
      <c r="F5" s="54">
        <v>365</v>
      </c>
      <c r="G5" s="19">
        <f t="shared" si="0"/>
        <v>2920</v>
      </c>
      <c r="H5" s="11">
        <f t="shared" si="1"/>
        <v>1.4038461538461537</v>
      </c>
      <c r="I5" s="77">
        <f>'one to one'!$O$3</f>
        <v>13.8</v>
      </c>
      <c r="J5" s="12">
        <v>1.2</v>
      </c>
      <c r="K5" s="13">
        <f t="shared" si="2"/>
        <v>48355.199999999997</v>
      </c>
      <c r="L5" s="14">
        <f t="shared" si="4"/>
        <v>0.25</v>
      </c>
      <c r="M5" s="15">
        <f t="shared" si="3"/>
        <v>12088.8</v>
      </c>
      <c r="O5" t="s">
        <v>13</v>
      </c>
      <c r="P5">
        <v>31.38</v>
      </c>
      <c r="Q5">
        <v>0.46147058823529413</v>
      </c>
      <c r="R5" s="60">
        <v>31.841470588235293</v>
      </c>
    </row>
    <row r="6" spans="1:18" x14ac:dyDescent="0.25">
      <c r="A6" s="3" t="s">
        <v>25</v>
      </c>
      <c r="B6" s="92">
        <v>8</v>
      </c>
      <c r="C6" s="92"/>
      <c r="D6" s="92"/>
      <c r="E6" s="92">
        <v>8</v>
      </c>
      <c r="F6" s="92">
        <v>116</v>
      </c>
      <c r="G6" s="19">
        <f t="shared" ref="G6" si="5">+E6*F6</f>
        <v>928</v>
      </c>
      <c r="H6" s="11">
        <f t="shared" ref="H6" si="6">+G6/2080</f>
        <v>0.44615384615384618</v>
      </c>
      <c r="I6" s="77">
        <f>'one to one'!$O$3</f>
        <v>13.8</v>
      </c>
      <c r="J6" s="12">
        <v>1.2</v>
      </c>
      <c r="K6" s="13">
        <f t="shared" ref="K6" si="7">G6*I6*J6</f>
        <v>15367.68</v>
      </c>
      <c r="L6" s="14">
        <f t="shared" si="4"/>
        <v>0.25</v>
      </c>
      <c r="M6" s="15">
        <f t="shared" ref="M6" si="8">L6*K6</f>
        <v>3841.92</v>
      </c>
      <c r="O6" t="s">
        <v>14</v>
      </c>
      <c r="P6">
        <v>23.53</v>
      </c>
      <c r="Q6">
        <v>0.34602941176470592</v>
      </c>
      <c r="R6" s="60">
        <v>23.876029411764708</v>
      </c>
    </row>
    <row r="7" spans="1:18" x14ac:dyDescent="0.25">
      <c r="A7" s="3" t="s">
        <v>29</v>
      </c>
      <c r="B7" s="92">
        <v>8</v>
      </c>
      <c r="C7" s="92"/>
      <c r="D7" s="92"/>
      <c r="E7" s="92">
        <v>8</v>
      </c>
      <c r="F7" s="92">
        <v>116</v>
      </c>
      <c r="G7" s="19">
        <v>928</v>
      </c>
      <c r="H7" s="11">
        <v>0.44615384615384618</v>
      </c>
      <c r="I7" s="77">
        <v>13.878099999999998</v>
      </c>
      <c r="J7" s="12">
        <v>1.2</v>
      </c>
      <c r="K7" s="13">
        <v>15454.652159999998</v>
      </c>
      <c r="L7" s="14">
        <v>0.25</v>
      </c>
      <c r="M7" s="15">
        <v>3863.6630399999995</v>
      </c>
    </row>
    <row r="8" spans="1:18" x14ac:dyDescent="0.25">
      <c r="A8" s="3" t="s">
        <v>31</v>
      </c>
      <c r="B8" s="92">
        <v>4</v>
      </c>
      <c r="C8" s="92"/>
      <c r="D8" s="92"/>
      <c r="E8" s="92">
        <f>SUM(B8:D8)</f>
        <v>4</v>
      </c>
      <c r="F8" s="92">
        <v>116</v>
      </c>
      <c r="G8" s="19">
        <f t="shared" ref="G8" si="9">+E8*F8</f>
        <v>464</v>
      </c>
      <c r="H8" s="11">
        <f t="shared" ref="H8" si="10">+G8/2080</f>
        <v>0.22307692307692309</v>
      </c>
      <c r="I8" s="104">
        <v>23.19</v>
      </c>
      <c r="J8" s="12">
        <v>1.2</v>
      </c>
      <c r="K8" s="13">
        <f t="shared" ref="K8" si="11">G8*I8*J8</f>
        <v>12912.191999999999</v>
      </c>
      <c r="L8" s="14">
        <f t="shared" si="4"/>
        <v>0.25</v>
      </c>
      <c r="M8" s="15">
        <f t="shared" ref="M8" si="12">L8*K8</f>
        <v>3228.0479999999998</v>
      </c>
    </row>
    <row r="9" spans="1:18" x14ac:dyDescent="0.25">
      <c r="A9" s="37" t="s">
        <v>41</v>
      </c>
      <c r="B9" s="36">
        <v>8</v>
      </c>
      <c r="C9" s="54"/>
      <c r="D9" s="54"/>
      <c r="E9" s="36">
        <v>8</v>
      </c>
      <c r="F9" s="54">
        <v>365</v>
      </c>
      <c r="G9" s="19">
        <f t="shared" si="0"/>
        <v>2920</v>
      </c>
      <c r="H9" s="11">
        <f t="shared" si="1"/>
        <v>1.4038461538461537</v>
      </c>
      <c r="I9" s="12">
        <v>22.5</v>
      </c>
      <c r="J9" s="12">
        <v>1.2</v>
      </c>
      <c r="K9" s="13">
        <f t="shared" si="2"/>
        <v>78840</v>
      </c>
      <c r="L9" s="14">
        <f t="shared" si="4"/>
        <v>0.25</v>
      </c>
      <c r="M9" s="15">
        <f t="shared" si="3"/>
        <v>19710</v>
      </c>
    </row>
    <row r="10" spans="1:18" x14ac:dyDescent="0.25">
      <c r="A10" s="3" t="s">
        <v>12</v>
      </c>
      <c r="B10" s="54">
        <v>8</v>
      </c>
      <c r="C10" s="54"/>
      <c r="D10" s="54"/>
      <c r="E10" s="54"/>
      <c r="F10" s="54"/>
      <c r="G10" s="10">
        <v>2080</v>
      </c>
      <c r="H10" s="11">
        <f t="shared" si="1"/>
        <v>1</v>
      </c>
      <c r="I10" s="12">
        <v>37.15</v>
      </c>
      <c r="J10" s="12">
        <v>1.2</v>
      </c>
      <c r="K10" s="13">
        <f t="shared" si="2"/>
        <v>92726.399999999994</v>
      </c>
      <c r="L10" s="14">
        <f>1/12</f>
        <v>8.3333333333333329E-2</v>
      </c>
      <c r="M10" s="15">
        <f t="shared" si="3"/>
        <v>7727.1999999999989</v>
      </c>
    </row>
    <row r="11" spans="1:18" x14ac:dyDescent="0.25">
      <c r="A11" s="3" t="s">
        <v>13</v>
      </c>
      <c r="B11" s="54">
        <v>8</v>
      </c>
      <c r="C11" s="54"/>
      <c r="D11" s="54"/>
      <c r="E11" s="54"/>
      <c r="F11" s="54"/>
      <c r="G11" s="10">
        <v>2080</v>
      </c>
      <c r="H11" s="11">
        <f t="shared" si="1"/>
        <v>1</v>
      </c>
      <c r="I11" s="104">
        <v>31.84</v>
      </c>
      <c r="J11" s="12">
        <v>1.2</v>
      </c>
      <c r="K11" s="13">
        <f t="shared" si="2"/>
        <v>79472.639999999999</v>
      </c>
      <c r="L11" s="14">
        <f>1/12</f>
        <v>8.3333333333333329E-2</v>
      </c>
      <c r="M11" s="15">
        <f t="shared" si="3"/>
        <v>6622.7199999999993</v>
      </c>
    </row>
    <row r="12" spans="1:18" x14ac:dyDescent="0.25">
      <c r="A12" s="3" t="s">
        <v>14</v>
      </c>
      <c r="B12" s="54">
        <v>8</v>
      </c>
      <c r="C12" s="54"/>
      <c r="D12" s="54"/>
      <c r="E12" s="54"/>
      <c r="F12" s="54"/>
      <c r="G12" s="10">
        <v>2080</v>
      </c>
      <c r="H12" s="11">
        <f t="shared" si="1"/>
        <v>1</v>
      </c>
      <c r="I12" s="104">
        <v>23.88</v>
      </c>
      <c r="J12" s="12">
        <v>1.2</v>
      </c>
      <c r="K12" s="13">
        <f t="shared" si="2"/>
        <v>59604.479999999996</v>
      </c>
      <c r="L12" s="14">
        <f>1/12</f>
        <v>8.3333333333333329E-2</v>
      </c>
      <c r="M12" s="15">
        <f t="shared" si="3"/>
        <v>4967.0399999999991</v>
      </c>
    </row>
    <row r="13" spans="1:18" x14ac:dyDescent="0.25">
      <c r="A13" s="3" t="s">
        <v>43</v>
      </c>
      <c r="B13" s="54">
        <v>124</v>
      </c>
      <c r="C13" s="54"/>
      <c r="D13" s="54"/>
      <c r="E13" s="54"/>
      <c r="F13" s="54">
        <f>SUM(B13:D13)</f>
        <v>124</v>
      </c>
      <c r="G13" s="74">
        <f>H3*F13</f>
        <v>348.15384615384613</v>
      </c>
      <c r="H13" s="12"/>
      <c r="I13" s="77">
        <f>'one to one'!$O$3</f>
        <v>13.8</v>
      </c>
      <c r="J13" s="12">
        <v>1.1200000000000001</v>
      </c>
      <c r="K13" s="13">
        <f>G13*I13*J13*H3</f>
        <v>15108.37718343195</v>
      </c>
      <c r="L13" s="14">
        <f t="shared" ref="L13:L18" si="13">1/4</f>
        <v>0.25</v>
      </c>
      <c r="M13" s="15">
        <f t="shared" si="3"/>
        <v>3777.0942958579876</v>
      </c>
    </row>
    <row r="14" spans="1:18" x14ac:dyDescent="0.25">
      <c r="A14" s="3" t="s">
        <v>120</v>
      </c>
      <c r="B14" s="54">
        <v>124</v>
      </c>
      <c r="C14" s="54"/>
      <c r="D14" s="54"/>
      <c r="E14" s="54"/>
      <c r="F14" s="54">
        <f>SUM(B14:D14)</f>
        <v>124</v>
      </c>
      <c r="G14" s="74">
        <f>H4*F14</f>
        <v>435.19230769230768</v>
      </c>
      <c r="H14" s="12"/>
      <c r="I14" s="12">
        <v>23.19</v>
      </c>
      <c r="J14" s="12">
        <v>1.1200000000000001</v>
      </c>
      <c r="K14" s="13">
        <f>G14*I14*J14*H4</f>
        <v>39669.753949704143</v>
      </c>
      <c r="L14" s="14">
        <f t="shared" si="13"/>
        <v>0.25</v>
      </c>
      <c r="M14" s="15">
        <f t="shared" si="3"/>
        <v>9917.4384874260359</v>
      </c>
    </row>
    <row r="15" spans="1:18" x14ac:dyDescent="0.25">
      <c r="A15" s="3" t="s">
        <v>42</v>
      </c>
      <c r="B15" s="54">
        <v>124</v>
      </c>
      <c r="C15" s="54"/>
      <c r="D15" s="54"/>
      <c r="E15" s="54"/>
      <c r="F15" s="54">
        <v>124</v>
      </c>
      <c r="G15" s="74">
        <f>H5*F15</f>
        <v>174.07692307692307</v>
      </c>
      <c r="H15" s="54"/>
      <c r="I15" s="77">
        <f>'one to one'!$O$3</f>
        <v>13.8</v>
      </c>
      <c r="J15" s="12">
        <v>1.1200000000000001</v>
      </c>
      <c r="K15" s="13">
        <f>G15*I15*J15*H5</f>
        <v>3777.0942958579876</v>
      </c>
      <c r="L15" s="14">
        <f t="shared" si="13"/>
        <v>0.25</v>
      </c>
      <c r="M15" s="15">
        <f t="shared" si="3"/>
        <v>944.2735739644969</v>
      </c>
    </row>
    <row r="16" spans="1:18" x14ac:dyDescent="0.25">
      <c r="A16" s="3" t="s">
        <v>45</v>
      </c>
      <c r="B16" s="92">
        <v>124</v>
      </c>
      <c r="C16" s="92"/>
      <c r="D16" s="92"/>
      <c r="E16" s="92"/>
      <c r="F16" s="92">
        <v>124</v>
      </c>
      <c r="G16" s="74">
        <f>H6*F16</f>
        <v>55.323076923076925</v>
      </c>
      <c r="H16" s="93"/>
      <c r="I16" s="77">
        <f>'one to one'!$O$3</f>
        <v>13.8</v>
      </c>
      <c r="J16" s="12">
        <v>1.1200000000000001</v>
      </c>
      <c r="K16" s="13">
        <f>G16*I16*J16*H6</f>
        <v>381.49432047337291</v>
      </c>
      <c r="L16" s="14">
        <f t="shared" si="13"/>
        <v>0.25</v>
      </c>
      <c r="M16" s="15">
        <f t="shared" ref="M16:M17" si="14">L16*K16</f>
        <v>95.373580118343227</v>
      </c>
    </row>
    <row r="17" spans="1:15" x14ac:dyDescent="0.25">
      <c r="A17" s="3" t="s">
        <v>169</v>
      </c>
      <c r="B17" s="92">
        <v>124</v>
      </c>
      <c r="C17" s="92"/>
      <c r="D17" s="92"/>
      <c r="E17" s="92"/>
      <c r="F17" s="92">
        <v>124</v>
      </c>
      <c r="G17" s="74">
        <f>H7*F17</f>
        <v>55.323076923076925</v>
      </c>
      <c r="H17" s="93"/>
      <c r="I17" s="77">
        <f>'one to one'!$O$3</f>
        <v>13.8</v>
      </c>
      <c r="J17" s="12">
        <v>1.1200000000000001</v>
      </c>
      <c r="K17" s="13">
        <f>G17*I17*J17*H7</f>
        <v>381.49432047337291</v>
      </c>
      <c r="L17" s="14">
        <f t="shared" si="13"/>
        <v>0.25</v>
      </c>
      <c r="M17" s="15">
        <f t="shared" si="14"/>
        <v>95.373580118343227</v>
      </c>
    </row>
    <row r="18" spans="1:15" x14ac:dyDescent="0.25">
      <c r="A18" s="45" t="s">
        <v>59</v>
      </c>
      <c r="B18" s="54">
        <v>124</v>
      </c>
      <c r="C18" s="54"/>
      <c r="D18" s="54"/>
      <c r="E18" s="54"/>
      <c r="F18" s="54">
        <f>SUM(B18:D18)</f>
        <v>124</v>
      </c>
      <c r="G18" s="74">
        <f t="shared" ref="G18" si="15">H9*F18</f>
        <v>174.07692307692307</v>
      </c>
      <c r="H18" s="44"/>
      <c r="I18" s="12">
        <v>23.19</v>
      </c>
      <c r="J18" s="12">
        <v>1.1200000000000001</v>
      </c>
      <c r="K18" s="13">
        <f>G18*I18*J18*H9</f>
        <v>6347.1606319526636</v>
      </c>
      <c r="L18" s="14">
        <f t="shared" si="13"/>
        <v>0.25</v>
      </c>
      <c r="M18" s="15">
        <f t="shared" si="3"/>
        <v>1586.7901579881659</v>
      </c>
      <c r="N18" s="7"/>
      <c r="O18" s="7"/>
    </row>
    <row r="19" spans="1:15" x14ac:dyDescent="0.25">
      <c r="I19" s="1"/>
      <c r="L19" s="1" t="s">
        <v>20</v>
      </c>
      <c r="M19" s="2">
        <f>SUM(M3:M18)</f>
        <v>153429.43471547338</v>
      </c>
      <c r="N19" s="7"/>
      <c r="O19" s="7"/>
    </row>
    <row r="20" spans="1:15" x14ac:dyDescent="0.25">
      <c r="A20" t="s">
        <v>150</v>
      </c>
      <c r="I20" s="1"/>
      <c r="L20" s="1" t="s">
        <v>21</v>
      </c>
      <c r="M20" s="2">
        <f>M19/347</f>
        <v>442.15975422326625</v>
      </c>
      <c r="N20" s="24" t="s">
        <v>151</v>
      </c>
      <c r="O20" s="7"/>
    </row>
    <row r="21" spans="1:15" ht="30" x14ac:dyDescent="0.25">
      <c r="A21" s="54"/>
      <c r="B21" s="16" t="s">
        <v>3</v>
      </c>
      <c r="C21" s="17" t="s">
        <v>4</v>
      </c>
      <c r="D21" s="17" t="s">
        <v>5</v>
      </c>
      <c r="E21" s="17" t="s">
        <v>7</v>
      </c>
      <c r="F21" s="17" t="s">
        <v>8</v>
      </c>
      <c r="G21" s="17" t="s">
        <v>9</v>
      </c>
      <c r="H21" s="17" t="s">
        <v>19</v>
      </c>
      <c r="I21" s="17" t="s">
        <v>10</v>
      </c>
      <c r="J21" s="17" t="s">
        <v>27</v>
      </c>
      <c r="K21" s="17" t="s">
        <v>23</v>
      </c>
      <c r="L21" s="17" t="s">
        <v>22</v>
      </c>
      <c r="M21" s="17" t="s">
        <v>24</v>
      </c>
      <c r="N21" s="7"/>
      <c r="O21" s="7"/>
    </row>
    <row r="22" spans="1:15" x14ac:dyDescent="0.25">
      <c r="A22" s="54" t="s">
        <v>6</v>
      </c>
      <c r="B22" s="54"/>
      <c r="C22" s="54">
        <v>8</v>
      </c>
      <c r="D22" s="54">
        <v>8</v>
      </c>
      <c r="E22" s="54">
        <f>SUM(B22:D22)</f>
        <v>16</v>
      </c>
      <c r="F22" s="54">
        <v>365</v>
      </c>
      <c r="G22" s="10">
        <f t="shared" ref="G22:G30" si="16">+E22*F22</f>
        <v>5840</v>
      </c>
      <c r="H22" s="11">
        <f t="shared" ref="H22:H33" si="17">+G22/2080</f>
        <v>2.8076923076923075</v>
      </c>
      <c r="I22" s="77">
        <f>'one to one'!$O$3</f>
        <v>13.8</v>
      </c>
      <c r="J22" s="12">
        <v>1.2</v>
      </c>
      <c r="K22" s="13">
        <f t="shared" ref="K22:K33" si="18">G22*I22*J22</f>
        <v>96710.399999999994</v>
      </c>
      <c r="L22" s="14">
        <f>1/6</f>
        <v>0.16666666666666666</v>
      </c>
      <c r="M22" s="15">
        <f t="shared" ref="M22:M42" si="19">L22*K22</f>
        <v>16118.399999999998</v>
      </c>
      <c r="N22" s="2"/>
      <c r="O22" s="7"/>
    </row>
    <row r="23" spans="1:15" x14ac:dyDescent="0.25">
      <c r="A23" s="54" t="s">
        <v>118</v>
      </c>
      <c r="B23" s="54">
        <v>6</v>
      </c>
      <c r="C23" s="54">
        <v>8</v>
      </c>
      <c r="D23" s="54">
        <v>8</v>
      </c>
      <c r="E23" s="54">
        <f>SUM(B23:D23)</f>
        <v>22</v>
      </c>
      <c r="F23" s="54">
        <v>365</v>
      </c>
      <c r="G23" s="10">
        <f t="shared" si="16"/>
        <v>8030</v>
      </c>
      <c r="H23" s="11">
        <f t="shared" si="17"/>
        <v>3.8605769230769229</v>
      </c>
      <c r="I23" s="12">
        <v>23.19</v>
      </c>
      <c r="J23" s="12">
        <v>1.2</v>
      </c>
      <c r="K23" s="13">
        <f t="shared" si="18"/>
        <v>223458.84</v>
      </c>
      <c r="L23" s="14">
        <f t="shared" ref="L23:L30" si="20">1/6</f>
        <v>0.16666666666666666</v>
      </c>
      <c r="M23" s="15">
        <f t="shared" si="19"/>
        <v>37243.14</v>
      </c>
      <c r="N23" s="7"/>
      <c r="O23" s="7"/>
    </row>
    <row r="24" spans="1:15" x14ac:dyDescent="0.25">
      <c r="A24" s="54" t="s">
        <v>119</v>
      </c>
      <c r="B24" s="54"/>
      <c r="C24" s="54">
        <v>8</v>
      </c>
      <c r="D24" s="54"/>
      <c r="E24" s="54">
        <f>SUM(B24:D24)</f>
        <v>8</v>
      </c>
      <c r="F24" s="54">
        <v>365</v>
      </c>
      <c r="G24" s="10">
        <f t="shared" si="16"/>
        <v>2920</v>
      </c>
      <c r="H24" s="11">
        <f t="shared" si="17"/>
        <v>1.4038461538461537</v>
      </c>
      <c r="I24" s="77">
        <f>'one to one'!$O$3</f>
        <v>13.8</v>
      </c>
      <c r="J24" s="12">
        <v>1.2</v>
      </c>
      <c r="K24" s="13">
        <f t="shared" si="18"/>
        <v>48355.199999999997</v>
      </c>
      <c r="L24" s="14">
        <f t="shared" si="20"/>
        <v>0.16666666666666666</v>
      </c>
      <c r="M24" s="15">
        <f t="shared" si="19"/>
        <v>8059.1999999999989</v>
      </c>
      <c r="N24" s="7"/>
      <c r="O24" s="7"/>
    </row>
    <row r="25" spans="1:15" x14ac:dyDescent="0.25">
      <c r="A25" s="65" t="s">
        <v>25</v>
      </c>
      <c r="B25" s="65"/>
      <c r="C25" s="65">
        <v>8</v>
      </c>
      <c r="D25" s="65"/>
      <c r="E25" s="65">
        <v>8</v>
      </c>
      <c r="F25" s="65">
        <v>365</v>
      </c>
      <c r="G25" s="10">
        <f t="shared" si="16"/>
        <v>2920</v>
      </c>
      <c r="H25" s="11">
        <f t="shared" si="17"/>
        <v>1.4038461538461537</v>
      </c>
      <c r="I25" s="77">
        <f>'one to one'!$O$3</f>
        <v>13.8</v>
      </c>
      <c r="J25" s="12">
        <v>1.2</v>
      </c>
      <c r="K25" s="13">
        <f t="shared" si="18"/>
        <v>48355.199999999997</v>
      </c>
      <c r="L25" s="14">
        <f t="shared" si="20"/>
        <v>0.16666666666666666</v>
      </c>
      <c r="M25" s="15">
        <f t="shared" si="19"/>
        <v>8059.1999999999989</v>
      </c>
      <c r="N25" s="7"/>
      <c r="O25" s="7"/>
    </row>
    <row r="26" spans="1:15" x14ac:dyDescent="0.25">
      <c r="A26" s="92" t="s">
        <v>29</v>
      </c>
      <c r="B26" s="92">
        <v>8</v>
      </c>
      <c r="C26" s="92"/>
      <c r="D26" s="92"/>
      <c r="E26" s="92">
        <v>8</v>
      </c>
      <c r="F26" s="92">
        <v>116</v>
      </c>
      <c r="G26" s="10">
        <f t="shared" ref="G26:G28" si="21">+E26*F26</f>
        <v>928</v>
      </c>
      <c r="H26" s="11">
        <f t="shared" ref="H26:H28" si="22">+G26/2080</f>
        <v>0.44615384615384618</v>
      </c>
      <c r="I26" s="77">
        <f>'one to one'!$O$3</f>
        <v>13.8</v>
      </c>
      <c r="J26" s="12">
        <v>1.2</v>
      </c>
      <c r="K26" s="13">
        <f t="shared" ref="K26:K28" si="23">G26*I26*J26</f>
        <v>15367.68</v>
      </c>
      <c r="L26" s="14">
        <f t="shared" si="20"/>
        <v>0.16666666666666666</v>
      </c>
      <c r="M26" s="15">
        <f t="shared" ref="M26:M28" si="24">L26*K26</f>
        <v>2561.2799999999997</v>
      </c>
      <c r="N26" s="7"/>
      <c r="O26" s="7"/>
    </row>
    <row r="27" spans="1:15" x14ac:dyDescent="0.25">
      <c r="A27" s="92" t="s">
        <v>172</v>
      </c>
      <c r="B27" s="92">
        <v>8</v>
      </c>
      <c r="C27" s="92"/>
      <c r="D27" s="92"/>
      <c r="E27" s="92">
        <v>8</v>
      </c>
      <c r="F27" s="92">
        <v>116</v>
      </c>
      <c r="G27" s="10">
        <f t="shared" si="21"/>
        <v>928</v>
      </c>
      <c r="H27" s="11">
        <f t="shared" si="22"/>
        <v>0.44615384615384618</v>
      </c>
      <c r="I27" s="77">
        <f>'one to one'!$O$3</f>
        <v>13.8</v>
      </c>
      <c r="J27" s="12">
        <v>1.2</v>
      </c>
      <c r="K27" s="13">
        <f t="shared" si="23"/>
        <v>15367.68</v>
      </c>
      <c r="L27" s="14">
        <f t="shared" si="20"/>
        <v>0.16666666666666666</v>
      </c>
      <c r="M27" s="15">
        <f t="shared" si="24"/>
        <v>2561.2799999999997</v>
      </c>
      <c r="N27" s="7"/>
      <c r="O27" s="7"/>
    </row>
    <row r="28" spans="1:15" x14ac:dyDescent="0.25">
      <c r="A28" s="92" t="s">
        <v>31</v>
      </c>
      <c r="B28" s="92">
        <v>4</v>
      </c>
      <c r="C28" s="92"/>
      <c r="D28" s="92"/>
      <c r="E28" s="92">
        <f>SUM(B28:D28)</f>
        <v>4</v>
      </c>
      <c r="F28" s="92">
        <v>116</v>
      </c>
      <c r="G28" s="10">
        <f t="shared" si="21"/>
        <v>464</v>
      </c>
      <c r="H28" s="11">
        <f t="shared" si="22"/>
        <v>0.22307692307692309</v>
      </c>
      <c r="I28" s="104">
        <v>23.19</v>
      </c>
      <c r="J28" s="12">
        <v>1.2</v>
      </c>
      <c r="K28" s="13">
        <f t="shared" si="23"/>
        <v>12912.191999999999</v>
      </c>
      <c r="L28" s="14">
        <f t="shared" si="20"/>
        <v>0.16666666666666666</v>
      </c>
      <c r="M28" s="15">
        <f t="shared" si="24"/>
        <v>2152.0319999999997</v>
      </c>
      <c r="N28" s="7"/>
      <c r="O28" s="7"/>
    </row>
    <row r="29" spans="1:15" x14ac:dyDescent="0.25">
      <c r="A29" s="92" t="s">
        <v>174</v>
      </c>
      <c r="B29" s="92">
        <v>8</v>
      </c>
      <c r="C29" s="92"/>
      <c r="D29" s="92"/>
      <c r="E29" s="92">
        <v>8</v>
      </c>
      <c r="F29" s="92">
        <v>116</v>
      </c>
      <c r="G29" s="10">
        <f t="shared" ref="G29" si="25">+E29*F29</f>
        <v>928</v>
      </c>
      <c r="H29" s="11">
        <f t="shared" ref="H29" si="26">+G29/2080</f>
        <v>0.44615384615384618</v>
      </c>
      <c r="I29" s="77">
        <f>'one to one'!$O$3</f>
        <v>13.8</v>
      </c>
      <c r="J29" s="12">
        <v>1.2</v>
      </c>
      <c r="K29" s="13">
        <f t="shared" ref="K29" si="27">G29*I29*J29</f>
        <v>15367.68</v>
      </c>
      <c r="L29" s="14">
        <f t="shared" si="20"/>
        <v>0.16666666666666666</v>
      </c>
      <c r="M29" s="15">
        <f t="shared" ref="M29" si="28">L29*K29</f>
        <v>2561.2799999999997</v>
      </c>
      <c r="N29" s="7"/>
      <c r="O29" s="7"/>
    </row>
    <row r="30" spans="1:15" x14ac:dyDescent="0.25">
      <c r="A30" s="54" t="s">
        <v>59</v>
      </c>
      <c r="B30" s="54">
        <v>10.3</v>
      </c>
      <c r="C30" s="54"/>
      <c r="D30" s="54"/>
      <c r="E30" s="54">
        <v>10.3</v>
      </c>
      <c r="F30" s="54">
        <v>365</v>
      </c>
      <c r="G30" s="10">
        <f t="shared" si="16"/>
        <v>3759.5000000000005</v>
      </c>
      <c r="H30" s="11">
        <f t="shared" si="17"/>
        <v>1.8074519230769233</v>
      </c>
      <c r="I30" s="12">
        <v>23.19</v>
      </c>
      <c r="J30" s="12">
        <v>1.2</v>
      </c>
      <c r="K30" s="13">
        <f t="shared" si="18"/>
        <v>104619.36600000002</v>
      </c>
      <c r="L30" s="14">
        <f t="shared" si="20"/>
        <v>0.16666666666666666</v>
      </c>
      <c r="M30" s="15">
        <f t="shared" si="19"/>
        <v>17436.561000000002</v>
      </c>
      <c r="N30" s="3"/>
      <c r="O30" s="7"/>
    </row>
    <row r="31" spans="1:15" x14ac:dyDescent="0.25">
      <c r="A31" s="54" t="s">
        <v>12</v>
      </c>
      <c r="B31" s="54">
        <v>8</v>
      </c>
      <c r="C31" s="54"/>
      <c r="D31" s="54"/>
      <c r="E31" s="54"/>
      <c r="F31" s="54"/>
      <c r="G31" s="10">
        <v>2080</v>
      </c>
      <c r="H31" s="11">
        <f t="shared" si="17"/>
        <v>1</v>
      </c>
      <c r="I31" s="12">
        <v>37.15</v>
      </c>
      <c r="J31" s="12">
        <v>1.2</v>
      </c>
      <c r="K31" s="13">
        <f t="shared" si="18"/>
        <v>92726.399999999994</v>
      </c>
      <c r="L31" s="14">
        <f>1/12</f>
        <v>8.3333333333333329E-2</v>
      </c>
      <c r="M31" s="15">
        <f t="shared" si="19"/>
        <v>7727.1999999999989</v>
      </c>
      <c r="N31" s="3"/>
      <c r="O31" s="7"/>
    </row>
    <row r="32" spans="1:15" x14ac:dyDescent="0.25">
      <c r="A32" s="54" t="s">
        <v>13</v>
      </c>
      <c r="B32" s="54">
        <v>8</v>
      </c>
      <c r="C32" s="54"/>
      <c r="D32" s="54"/>
      <c r="E32" s="54"/>
      <c r="F32" s="54"/>
      <c r="G32" s="10">
        <v>2080</v>
      </c>
      <c r="H32" s="11">
        <f t="shared" si="17"/>
        <v>1</v>
      </c>
      <c r="I32" s="104">
        <v>31.84</v>
      </c>
      <c r="J32" s="12">
        <v>1.2</v>
      </c>
      <c r="K32" s="13">
        <f t="shared" si="18"/>
        <v>79472.639999999999</v>
      </c>
      <c r="L32" s="14">
        <f>1/12</f>
        <v>8.3333333333333329E-2</v>
      </c>
      <c r="M32" s="15">
        <f t="shared" si="19"/>
        <v>6622.7199999999993</v>
      </c>
      <c r="N32" s="3"/>
      <c r="O32" s="7"/>
    </row>
    <row r="33" spans="1:15" x14ac:dyDescent="0.25">
      <c r="A33" s="54" t="s">
        <v>14</v>
      </c>
      <c r="B33" s="54">
        <v>8</v>
      </c>
      <c r="C33" s="54"/>
      <c r="D33" s="54"/>
      <c r="E33" s="54"/>
      <c r="F33" s="54"/>
      <c r="G33" s="10">
        <v>2080</v>
      </c>
      <c r="H33" s="11">
        <f t="shared" si="17"/>
        <v>1</v>
      </c>
      <c r="I33" s="104">
        <v>23.88</v>
      </c>
      <c r="J33" s="12">
        <v>1.2</v>
      </c>
      <c r="K33" s="13">
        <f t="shared" si="18"/>
        <v>59604.479999999996</v>
      </c>
      <c r="L33" s="14">
        <f>1/12</f>
        <v>8.3333333333333329E-2</v>
      </c>
      <c r="M33" s="15">
        <f t="shared" si="19"/>
        <v>4967.0399999999991</v>
      </c>
      <c r="N33" s="3"/>
      <c r="O33" s="7"/>
    </row>
    <row r="34" spans="1:15" x14ac:dyDescent="0.25">
      <c r="A34" s="54" t="s">
        <v>43</v>
      </c>
      <c r="B34" s="54">
        <v>124</v>
      </c>
      <c r="C34" s="54"/>
      <c r="D34" s="54"/>
      <c r="E34" s="54"/>
      <c r="F34" s="54">
        <f>SUM(B34:D34)</f>
        <v>124</v>
      </c>
      <c r="G34" s="74">
        <f>H22*F34</f>
        <v>348.15384615384613</v>
      </c>
      <c r="H34" s="12"/>
      <c r="I34" s="77">
        <f>'one to one'!$O$3</f>
        <v>13.8</v>
      </c>
      <c r="J34" s="12">
        <v>1.1200000000000001</v>
      </c>
      <c r="K34" s="13">
        <f>G34*I34*J34*H22</f>
        <v>15108.37718343195</v>
      </c>
      <c r="L34" s="14">
        <f t="shared" ref="L34:L42" si="29">1/6</f>
        <v>0.16666666666666666</v>
      </c>
      <c r="M34" s="15">
        <f t="shared" si="19"/>
        <v>2518.0628639053248</v>
      </c>
      <c r="N34" s="3"/>
      <c r="O34" s="7"/>
    </row>
    <row r="35" spans="1:15" x14ac:dyDescent="0.25">
      <c r="A35" s="92" t="s">
        <v>42</v>
      </c>
      <c r="B35" s="92">
        <v>124</v>
      </c>
      <c r="C35" s="92"/>
      <c r="D35" s="92"/>
      <c r="E35" s="92"/>
      <c r="F35" s="92">
        <v>124</v>
      </c>
      <c r="G35" s="74">
        <f>H24*F35</f>
        <v>174.07692307692307</v>
      </c>
      <c r="H35" s="12"/>
      <c r="I35" s="77">
        <f>'one to one'!$O$3</f>
        <v>13.8</v>
      </c>
      <c r="J35" s="12">
        <v>1.1200000000000001</v>
      </c>
      <c r="K35" s="13">
        <f>G35*I35*J35*H23</f>
        <v>10387.009313609467</v>
      </c>
      <c r="L35" s="14">
        <f t="shared" si="29"/>
        <v>0.16666666666666666</v>
      </c>
      <c r="M35" s="15">
        <f t="shared" ref="M35" si="30">L35*K35</f>
        <v>1731.1682189349112</v>
      </c>
      <c r="N35" s="26"/>
      <c r="O35" s="63"/>
    </row>
    <row r="36" spans="1:15" x14ac:dyDescent="0.25">
      <c r="A36" s="92" t="s">
        <v>45</v>
      </c>
      <c r="B36" s="92">
        <v>124</v>
      </c>
      <c r="C36" s="92"/>
      <c r="D36" s="92"/>
      <c r="E36" s="92"/>
      <c r="F36" s="92">
        <v>124</v>
      </c>
      <c r="G36" s="74">
        <f>H25*F36</f>
        <v>174.07692307692307</v>
      </c>
      <c r="H36" s="12"/>
      <c r="I36" s="77">
        <f>'one to one'!$O$3</f>
        <v>13.8</v>
      </c>
      <c r="J36" s="12">
        <v>1.1200000000000001</v>
      </c>
      <c r="K36" s="13">
        <f>G36*I36*J36*H22</f>
        <v>7554.1885917159752</v>
      </c>
      <c r="L36" s="14">
        <f t="shared" si="29"/>
        <v>0.16666666666666666</v>
      </c>
      <c r="M36" s="15">
        <f t="shared" ref="M36:M37" si="31">L36*K36</f>
        <v>1259.0314319526624</v>
      </c>
      <c r="N36" s="26"/>
      <c r="O36" s="63"/>
    </row>
    <row r="37" spans="1:15" x14ac:dyDescent="0.25">
      <c r="A37" s="92" t="s">
        <v>169</v>
      </c>
      <c r="B37" s="92">
        <v>124</v>
      </c>
      <c r="C37" s="92"/>
      <c r="D37" s="92"/>
      <c r="E37" s="92"/>
      <c r="F37" s="92">
        <v>124</v>
      </c>
      <c r="G37" s="74">
        <f>H26*F37</f>
        <v>55.323076923076925</v>
      </c>
      <c r="H37" s="12"/>
      <c r="I37" s="77">
        <f>'one to one'!$O$3</f>
        <v>13.8</v>
      </c>
      <c r="J37" s="12">
        <v>1.1200000000000001</v>
      </c>
      <c r="K37" s="13">
        <f>G37*I37*J37*H23</f>
        <v>3301.0769325443794</v>
      </c>
      <c r="L37" s="14">
        <f t="shared" si="29"/>
        <v>0.16666666666666666</v>
      </c>
      <c r="M37" s="15">
        <f t="shared" si="31"/>
        <v>550.17948875739648</v>
      </c>
      <c r="N37" s="26"/>
      <c r="O37" s="63"/>
    </row>
    <row r="38" spans="1:15" x14ac:dyDescent="0.25">
      <c r="A38" s="3" t="s">
        <v>178</v>
      </c>
      <c r="B38" s="65">
        <v>124</v>
      </c>
      <c r="C38" s="65"/>
      <c r="D38" s="65"/>
      <c r="E38" s="65"/>
      <c r="F38" s="65">
        <v>124</v>
      </c>
      <c r="G38" s="10">
        <f>H27*F38</f>
        <v>55.323076923076925</v>
      </c>
      <c r="H38" s="65"/>
      <c r="I38" s="77">
        <f>'one to one'!$O$3</f>
        <v>13.8</v>
      </c>
      <c r="J38" s="12">
        <v>1.1200000000000001</v>
      </c>
      <c r="K38" s="13">
        <f>G38*I38*J38*H24</f>
        <v>1200.3916118343197</v>
      </c>
      <c r="L38" s="14">
        <f t="shared" si="29"/>
        <v>0.16666666666666666</v>
      </c>
      <c r="M38" s="15">
        <f t="shared" si="19"/>
        <v>200.06526863905327</v>
      </c>
    </row>
    <row r="39" spans="1:15" x14ac:dyDescent="0.25">
      <c r="A39" s="3" t="s">
        <v>184</v>
      </c>
      <c r="B39" s="92">
        <v>124</v>
      </c>
      <c r="C39" s="92"/>
      <c r="D39" s="92"/>
      <c r="E39" s="92"/>
      <c r="F39" s="92">
        <v>124</v>
      </c>
      <c r="G39" s="10">
        <f>H29*F39</f>
        <v>55.323076923076925</v>
      </c>
      <c r="H39" s="92"/>
      <c r="I39" s="77">
        <f>'one to one'!$O$3</f>
        <v>13.8</v>
      </c>
      <c r="J39" s="12">
        <v>1.1200000000000001</v>
      </c>
      <c r="K39" s="13">
        <f>G39*I39*J39*H25</f>
        <v>1200.3916118343197</v>
      </c>
      <c r="L39" s="14">
        <f t="shared" si="29"/>
        <v>0.16666666666666666</v>
      </c>
      <c r="M39" s="15">
        <f t="shared" ref="M39" si="32">L39*K39</f>
        <v>200.06526863905327</v>
      </c>
    </row>
    <row r="40" spans="1:15" x14ac:dyDescent="0.25">
      <c r="A40" s="54" t="s">
        <v>120</v>
      </c>
      <c r="B40" s="54">
        <v>124</v>
      </c>
      <c r="C40" s="54"/>
      <c r="D40" s="54"/>
      <c r="E40" s="54"/>
      <c r="F40" s="54">
        <f>SUM(B40:D40)</f>
        <v>124</v>
      </c>
      <c r="G40" s="10">
        <f>H23*F40</f>
        <v>478.71153846153845</v>
      </c>
      <c r="H40" s="12"/>
      <c r="I40" s="12">
        <v>23.19</v>
      </c>
      <c r="J40" s="12">
        <v>1.1200000000000001</v>
      </c>
      <c r="K40" s="13">
        <f>G40*I40*J40*H23</f>
        <v>48000.402279142014</v>
      </c>
      <c r="L40" s="14">
        <f t="shared" si="29"/>
        <v>0.16666666666666666</v>
      </c>
      <c r="M40" s="15">
        <f t="shared" si="19"/>
        <v>8000.067046523669</v>
      </c>
      <c r="N40" s="3"/>
      <c r="O40" s="7"/>
    </row>
    <row r="41" spans="1:15" x14ac:dyDescent="0.25">
      <c r="A41" s="92" t="s">
        <v>46</v>
      </c>
      <c r="B41" s="92">
        <v>124</v>
      </c>
      <c r="C41" s="92"/>
      <c r="D41" s="92"/>
      <c r="E41" s="92"/>
      <c r="F41" s="92">
        <f>SUM(B41:D41)</f>
        <v>124</v>
      </c>
      <c r="G41" s="10">
        <f>H28*F41</f>
        <v>27.661538461538463</v>
      </c>
      <c r="H41" s="12"/>
      <c r="I41" s="12">
        <v>23.19</v>
      </c>
      <c r="J41" s="12">
        <v>1.1200000000000001</v>
      </c>
      <c r="K41" s="13">
        <f>G41*I41*J41*H24</f>
        <v>1008.5899086390534</v>
      </c>
      <c r="L41" s="14">
        <f t="shared" si="29"/>
        <v>0.16666666666666666</v>
      </c>
      <c r="M41" s="15">
        <f t="shared" ref="M41" si="33">L41*K41</f>
        <v>168.09831810650888</v>
      </c>
      <c r="N41" s="26"/>
      <c r="O41" s="63"/>
    </row>
    <row r="42" spans="1:15" x14ac:dyDescent="0.25">
      <c r="A42" s="54" t="s">
        <v>61</v>
      </c>
      <c r="B42" s="54">
        <v>124</v>
      </c>
      <c r="C42" s="54"/>
      <c r="D42" s="54"/>
      <c r="E42" s="54"/>
      <c r="F42" s="54">
        <f>SUM(B42:D42)</f>
        <v>124</v>
      </c>
      <c r="G42" s="10">
        <f>H30*F42</f>
        <v>224.12403846153848</v>
      </c>
      <c r="H42" s="12"/>
      <c r="I42" s="12">
        <v>23.19</v>
      </c>
      <c r="J42" s="12">
        <v>1.1200000000000001</v>
      </c>
      <c r="K42" s="13">
        <f>G42*I42*J42*H30</f>
        <v>10521.410491310284</v>
      </c>
      <c r="L42" s="14">
        <f t="shared" si="29"/>
        <v>0.16666666666666666</v>
      </c>
      <c r="M42" s="15">
        <f t="shared" si="19"/>
        <v>1753.5684152183806</v>
      </c>
      <c r="N42" s="26"/>
      <c r="O42" s="63"/>
    </row>
    <row r="43" spans="1:15" x14ac:dyDescent="0.25">
      <c r="I43" s="1"/>
      <c r="J43" s="1"/>
      <c r="N43" s="26"/>
      <c r="O43" s="63"/>
    </row>
    <row r="44" spans="1:15" x14ac:dyDescent="0.25">
      <c r="I44" s="1"/>
      <c r="L44" s="1" t="s">
        <v>20</v>
      </c>
      <c r="M44" s="2">
        <f>SUM(M22:M42)</f>
        <v>132449.63932067694</v>
      </c>
      <c r="N44" s="26"/>
      <c r="O44" s="63"/>
    </row>
    <row r="45" spans="1:15" x14ac:dyDescent="0.25">
      <c r="I45" s="1"/>
      <c r="L45" s="1" t="s">
        <v>21</v>
      </c>
      <c r="M45" s="2">
        <f>M44/347</f>
        <v>381.69924876275775</v>
      </c>
      <c r="N45" s="26" t="s">
        <v>152</v>
      </c>
      <c r="O45" s="63"/>
    </row>
    <row r="46" spans="1:15" ht="15" customHeight="1" x14ac:dyDescent="0.25">
      <c r="A46" s="151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</row>
    <row r="47" spans="1:15" x14ac:dyDescent="0.25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</row>
    <row r="48" spans="1:15" x14ac:dyDescent="0.25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</row>
    <row r="49" spans="1:13" x14ac:dyDescent="0.25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</row>
    <row r="50" spans="1:13" x14ac:dyDescent="0.25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</row>
    <row r="51" spans="1:13" x14ac:dyDescent="0.25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</row>
    <row r="52" spans="1:13" x14ac:dyDescent="0.25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</row>
    <row r="53" spans="1:13" x14ac:dyDescent="0.2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</row>
  </sheetData>
  <mergeCells count="1">
    <mergeCell ref="A46:M53"/>
  </mergeCells>
  <phoneticPr fontId="7" type="noConversion"/>
  <pageMargins left="0.7" right="0.7" top="0.75" bottom="0.75" header="0.3" footer="0.3"/>
  <pageSetup scale="75" orientation="landscape"/>
  <headerFooter>
    <oddHeader>&amp;C&amp;F  //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4 bed base </vt:lpstr>
      <vt:lpstr>6 bed base</vt:lpstr>
      <vt:lpstr>4 bed mod</vt:lpstr>
      <vt:lpstr>6 bed moderate</vt:lpstr>
      <vt:lpstr>4 bed enhanced mod</vt:lpstr>
      <vt:lpstr>6 bed enhanced mod</vt:lpstr>
      <vt:lpstr>4 bed intensive</vt:lpstr>
      <vt:lpstr>6 bed intensive</vt:lpstr>
      <vt:lpstr>RH intensive 24 LPN</vt:lpstr>
      <vt:lpstr>SL Basic 3</vt:lpstr>
      <vt:lpstr>SL mod 3</vt:lpstr>
      <vt:lpstr>Model 4.6.12</vt:lpstr>
      <vt:lpstr>Hourly</vt:lpstr>
      <vt:lpstr>SL int 3</vt:lpstr>
      <vt:lpstr>SL Basic 2</vt:lpstr>
      <vt:lpstr>SL mod (2)</vt:lpstr>
      <vt:lpstr>SL int (2)</vt:lpstr>
      <vt:lpstr>one to one</vt:lpstr>
      <vt:lpstr>Hourly!Print_Area</vt:lpstr>
      <vt:lpstr>'Model 4.6.12'!Print_Area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User</dc:creator>
  <cp:lastModifiedBy>Beidleman, Steven (DDS)</cp:lastModifiedBy>
  <cp:lastPrinted>2014-12-22T18:16:19Z</cp:lastPrinted>
  <dcterms:created xsi:type="dcterms:W3CDTF">2012-02-28T13:33:20Z</dcterms:created>
  <dcterms:modified xsi:type="dcterms:W3CDTF">2015-04-29T19:30:08Z</dcterms:modified>
</cp:coreProperties>
</file>