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195" windowHeight="11565" activeTab="2"/>
  </bookViews>
  <sheets>
    <sheet name="NCI table 1" sheetId="1" r:id="rId1"/>
    <sheet name="NCI table 2" sheetId="3" r:id="rId2"/>
    <sheet name="Others" sheetId="4" r:id="rId3"/>
  </sheets>
  <definedNames>
    <definedName name="_xlnm._FilterDatabase" localSheetId="0" hidden="1">'NCI table 1'!$A$5:$J$80</definedName>
    <definedName name="_xlnm._FilterDatabase" localSheetId="2" hidden="1">Others!$A$3:$H$45</definedName>
    <definedName name="_xlnm.Print_Titles" localSheetId="0">'NCI table 1'!$1:$5</definedName>
  </definedNames>
  <calcPr calcId="145621"/>
</workbook>
</file>

<file path=xl/calcChain.xml><?xml version="1.0" encoding="utf-8"?>
<calcChain xmlns="http://schemas.openxmlformats.org/spreadsheetml/2006/main">
  <c r="H29" i="4" l="1"/>
  <c r="G29" i="4"/>
  <c r="H27" i="4"/>
  <c r="G27" i="4"/>
  <c r="H25" i="4"/>
  <c r="G25" i="4"/>
  <c r="H24" i="4"/>
  <c r="G24" i="4"/>
  <c r="H21" i="4"/>
  <c r="G21" i="4"/>
  <c r="H19" i="4"/>
  <c r="G19" i="4"/>
  <c r="H39" i="4"/>
  <c r="G39" i="4"/>
  <c r="H37" i="4"/>
  <c r="G37" i="4"/>
  <c r="H4" i="4"/>
  <c r="G4" i="4"/>
  <c r="F21" i="4"/>
  <c r="F20" i="4"/>
  <c r="F19" i="4"/>
  <c r="F27" i="4"/>
  <c r="E27" i="4"/>
  <c r="E21" i="4"/>
  <c r="E20" i="4"/>
  <c r="E19" i="4"/>
  <c r="L28" i="1" l="1"/>
  <c r="L29" i="1"/>
  <c r="L30" i="1"/>
  <c r="L32" i="1"/>
  <c r="L35" i="1"/>
  <c r="L49" i="1"/>
  <c r="L56" i="1"/>
  <c r="L64" i="1"/>
  <c r="L9" i="1"/>
  <c r="L10" i="1"/>
  <c r="L11" i="1"/>
  <c r="L7" i="1"/>
  <c r="K12" i="3" l="1"/>
  <c r="J12" i="3"/>
  <c r="K11" i="3"/>
  <c r="J11" i="3"/>
  <c r="K10" i="3"/>
  <c r="J10" i="3"/>
  <c r="L10" i="3" s="1"/>
  <c r="K9" i="3"/>
  <c r="J9" i="3"/>
  <c r="K8" i="3"/>
  <c r="J8" i="3"/>
  <c r="I7" i="3"/>
  <c r="K7" i="3" s="1"/>
  <c r="H7" i="3"/>
  <c r="J7" i="3" s="1"/>
  <c r="I6" i="3"/>
  <c r="K6" i="3" s="1"/>
  <c r="H6" i="3"/>
  <c r="J6" i="3" s="1"/>
  <c r="K7" i="1" l="1"/>
  <c r="K8" i="1"/>
  <c r="K9" i="1"/>
  <c r="K10" i="1"/>
  <c r="K11" i="1"/>
  <c r="K12" i="1"/>
  <c r="K13" i="1"/>
  <c r="K14" i="1"/>
  <c r="K15" i="1"/>
  <c r="K16" i="1"/>
  <c r="K17" i="1"/>
  <c r="K20" i="1"/>
  <c r="K21" i="1"/>
  <c r="K22" i="1"/>
  <c r="K23" i="1"/>
  <c r="K25" i="1"/>
  <c r="K26" i="1"/>
  <c r="K28" i="1"/>
  <c r="K29" i="1"/>
  <c r="K30" i="1"/>
  <c r="K31" i="1"/>
  <c r="K32" i="1"/>
  <c r="K33" i="1"/>
  <c r="K34" i="1"/>
  <c r="K35" i="1"/>
  <c r="K36" i="1"/>
  <c r="K37" i="1"/>
  <c r="K38" i="1"/>
  <c r="K39" i="1"/>
  <c r="K40" i="1"/>
  <c r="K42" i="1"/>
  <c r="K43" i="1"/>
  <c r="K44" i="1"/>
  <c r="K45" i="1"/>
  <c r="K46" i="1"/>
  <c r="K47" i="1"/>
  <c r="K48" i="1"/>
  <c r="K49" i="1"/>
  <c r="K50" i="1"/>
  <c r="K51" i="1"/>
  <c r="K52" i="1"/>
  <c r="K53" i="1"/>
  <c r="K54" i="1"/>
  <c r="K55" i="1"/>
  <c r="K56" i="1"/>
  <c r="K59" i="1"/>
  <c r="K60" i="1"/>
  <c r="K62" i="1"/>
  <c r="K63" i="1"/>
  <c r="K64" i="1"/>
  <c r="K65" i="1"/>
  <c r="K66" i="1"/>
  <c r="K70" i="1"/>
  <c r="K71" i="1"/>
  <c r="K72" i="1"/>
  <c r="K73" i="1"/>
  <c r="K74" i="1"/>
  <c r="K75" i="1"/>
  <c r="K77" i="1"/>
  <c r="K79" i="1"/>
  <c r="K80" i="1"/>
  <c r="J8" i="1"/>
  <c r="J9" i="1"/>
  <c r="J10" i="1"/>
  <c r="J11" i="1"/>
  <c r="J12" i="1"/>
  <c r="J13" i="1"/>
  <c r="J14" i="1"/>
  <c r="J15" i="1"/>
  <c r="J16" i="1"/>
  <c r="J17" i="1"/>
  <c r="J20" i="1"/>
  <c r="J21" i="1"/>
  <c r="J22" i="1"/>
  <c r="J23" i="1"/>
  <c r="J25" i="1"/>
  <c r="J26" i="1"/>
  <c r="J28" i="1"/>
  <c r="J29" i="1"/>
  <c r="J30" i="1"/>
  <c r="J31" i="1"/>
  <c r="J32" i="1"/>
  <c r="J33" i="1"/>
  <c r="J34" i="1"/>
  <c r="J35" i="1"/>
  <c r="J36" i="1"/>
  <c r="J38" i="1"/>
  <c r="J39" i="1"/>
  <c r="J40" i="1"/>
  <c r="J42" i="1"/>
  <c r="J43" i="1"/>
  <c r="J44" i="1"/>
  <c r="J45" i="1"/>
  <c r="J46" i="1"/>
  <c r="J47" i="1"/>
  <c r="J48" i="1"/>
  <c r="J49" i="1"/>
  <c r="J50" i="1"/>
  <c r="J51" i="1"/>
  <c r="J52" i="1"/>
  <c r="J53" i="1"/>
  <c r="J54" i="1"/>
  <c r="J55" i="1"/>
  <c r="J56" i="1"/>
  <c r="J59" i="1"/>
  <c r="J60" i="1"/>
  <c r="J62" i="1"/>
  <c r="J63" i="1"/>
  <c r="J64" i="1"/>
  <c r="J65" i="1"/>
  <c r="J66" i="1"/>
  <c r="J70" i="1"/>
  <c r="J71" i="1"/>
  <c r="J72" i="1"/>
  <c r="J73" i="1"/>
  <c r="J74" i="1"/>
  <c r="J75" i="1"/>
  <c r="J77" i="1"/>
  <c r="J79" i="1"/>
  <c r="J80" i="1"/>
  <c r="J7" i="1"/>
  <c r="I39" i="1"/>
  <c r="H39" i="1"/>
  <c r="H56" i="1"/>
  <c r="I55" i="1"/>
  <c r="H55" i="1"/>
  <c r="I35" i="1"/>
  <c r="H35" i="1"/>
  <c r="I40" i="1"/>
  <c r="H40" i="1"/>
  <c r="I79" i="1"/>
  <c r="H79" i="1"/>
  <c r="I67" i="1"/>
  <c r="H67" i="1"/>
  <c r="I26" i="1"/>
  <c r="H26" i="1"/>
  <c r="I25" i="1"/>
  <c r="H25" i="1"/>
  <c r="I77" i="1"/>
  <c r="H77" i="1"/>
  <c r="I75" i="1"/>
  <c r="H75" i="1"/>
  <c r="I74" i="1"/>
  <c r="H74" i="1"/>
  <c r="I73" i="1"/>
  <c r="H73" i="1"/>
  <c r="I44" i="1"/>
  <c r="H44" i="1"/>
  <c r="I49" i="1"/>
  <c r="H49" i="1"/>
  <c r="I46" i="1"/>
  <c r="H46" i="1"/>
  <c r="I45" i="1"/>
  <c r="H45" i="1"/>
  <c r="I63" i="1"/>
  <c r="H63" i="1"/>
  <c r="F68" i="1"/>
  <c r="G67" i="1"/>
  <c r="F67" i="1"/>
  <c r="G41" i="1" l="1"/>
  <c r="F41" i="1"/>
  <c r="G40" i="1"/>
  <c r="F40" i="1"/>
  <c r="G39" i="1"/>
  <c r="F39" i="1"/>
  <c r="G78" i="1" l="1"/>
  <c r="F78" i="1"/>
  <c r="G77" i="1"/>
  <c r="F77" i="1"/>
  <c r="G76" i="1"/>
  <c r="F76" i="1"/>
  <c r="G75" i="1"/>
  <c r="F75" i="1"/>
  <c r="G69" i="1"/>
  <c r="F69" i="1"/>
  <c r="G68" i="1"/>
</calcChain>
</file>

<file path=xl/comments1.xml><?xml version="1.0" encoding="utf-8"?>
<comments xmlns="http://schemas.openxmlformats.org/spreadsheetml/2006/main">
  <authors>
    <author>ServUS</author>
  </authors>
  <commentList>
    <comment ref="E19" authorId="0">
      <text>
        <r>
          <rPr>
            <b/>
            <sz val="9"/>
            <color indexed="81"/>
            <rFont val="Tahoma"/>
            <family val="2"/>
          </rPr>
          <t>ServUS:</t>
        </r>
        <r>
          <rPr>
            <sz val="9"/>
            <color indexed="81"/>
            <rFont val="Tahoma"/>
            <family val="2"/>
          </rPr>
          <t xml:space="preserve">
Incl: Always, usually and sometimes</t>
        </r>
      </text>
    </comment>
    <comment ref="G19" authorId="0">
      <text>
        <r>
          <rPr>
            <b/>
            <sz val="9"/>
            <color indexed="81"/>
            <rFont val="Tahoma"/>
            <family val="2"/>
          </rPr>
          <t>ServUS:</t>
        </r>
        <r>
          <rPr>
            <sz val="9"/>
            <color indexed="81"/>
            <rFont val="Tahoma"/>
            <family val="2"/>
          </rPr>
          <t xml:space="preserve">
Incl: Always, Usually, and Sometimes</t>
        </r>
      </text>
    </comment>
    <comment ref="E20" authorId="0">
      <text>
        <r>
          <rPr>
            <b/>
            <sz val="9"/>
            <color indexed="81"/>
            <rFont val="Tahoma"/>
            <family val="2"/>
          </rPr>
          <t>ServUS:</t>
        </r>
        <r>
          <rPr>
            <sz val="9"/>
            <color indexed="81"/>
            <rFont val="Tahoma"/>
            <family val="2"/>
          </rPr>
          <t xml:space="preserve">
Incl: Always, Usually, and Sometimes</t>
        </r>
      </text>
    </comment>
    <comment ref="E21" authorId="0">
      <text>
        <r>
          <rPr>
            <b/>
            <sz val="9"/>
            <color indexed="81"/>
            <rFont val="Tahoma"/>
            <family val="2"/>
          </rPr>
          <t>ServUS:</t>
        </r>
        <r>
          <rPr>
            <sz val="9"/>
            <color indexed="81"/>
            <rFont val="Tahoma"/>
            <family val="2"/>
          </rPr>
          <t xml:space="preserve">
Incl: Always, Usually, and Sometimes
</t>
        </r>
      </text>
    </comment>
    <comment ref="E23" authorId="0">
      <text>
        <r>
          <rPr>
            <b/>
            <sz val="9"/>
            <color indexed="81"/>
            <rFont val="Tahoma"/>
            <family val="2"/>
          </rPr>
          <t>ServUS:</t>
        </r>
        <r>
          <rPr>
            <sz val="9"/>
            <color indexed="81"/>
            <rFont val="Tahoma"/>
            <family val="2"/>
          </rPr>
          <t xml:space="preserve">
DC scored at the top</t>
        </r>
      </text>
    </comment>
    <comment ref="E24" authorId="0">
      <text>
        <r>
          <rPr>
            <b/>
            <sz val="9"/>
            <color indexed="81"/>
            <rFont val="Tahoma"/>
            <family val="2"/>
          </rPr>
          <t>ServUS:</t>
        </r>
        <r>
          <rPr>
            <sz val="9"/>
            <color indexed="81"/>
            <rFont val="Tahoma"/>
            <family val="2"/>
          </rPr>
          <t xml:space="preserve">
DC scored at the bottom</t>
        </r>
      </text>
    </comment>
    <comment ref="E27" authorId="0">
      <text>
        <r>
          <rPr>
            <b/>
            <sz val="9"/>
            <color indexed="81"/>
            <rFont val="Tahoma"/>
            <family val="2"/>
          </rPr>
          <t>ServUS:</t>
        </r>
        <r>
          <rPr>
            <sz val="9"/>
            <color indexed="81"/>
            <rFont val="Tahoma"/>
            <family val="2"/>
          </rPr>
          <t xml:space="preserve">
Incl: Always, Usually, and Sometimes</t>
        </r>
      </text>
    </comment>
    <comment ref="E30" authorId="0">
      <text>
        <r>
          <rPr>
            <b/>
            <sz val="9"/>
            <color indexed="81"/>
            <rFont val="Tahoma"/>
            <family val="2"/>
          </rPr>
          <t>ServUS:</t>
        </r>
        <r>
          <rPr>
            <sz val="9"/>
            <color indexed="81"/>
            <rFont val="Tahoma"/>
            <family val="2"/>
          </rPr>
          <t xml:space="preserve">
"Yes" answer</t>
        </r>
      </text>
    </comment>
    <comment ref="E31" authorId="0">
      <text>
        <r>
          <rPr>
            <b/>
            <sz val="9"/>
            <color indexed="81"/>
            <rFont val="Tahoma"/>
            <family val="2"/>
          </rPr>
          <t>ServUS:</t>
        </r>
        <r>
          <rPr>
            <sz val="9"/>
            <color indexed="81"/>
            <rFont val="Tahoma"/>
            <family val="2"/>
          </rPr>
          <t xml:space="preserve">
"Yes" answer</t>
        </r>
      </text>
    </comment>
    <comment ref="E35" authorId="0">
      <text>
        <r>
          <rPr>
            <b/>
            <sz val="9"/>
            <color indexed="81"/>
            <rFont val="Tahoma"/>
            <family val="2"/>
          </rPr>
          <t>ServUS:</t>
        </r>
        <r>
          <rPr>
            <sz val="9"/>
            <color indexed="81"/>
            <rFont val="Tahoma"/>
            <family val="2"/>
          </rPr>
          <t xml:space="preserve">
"Yes" answer
</t>
        </r>
      </text>
    </comment>
    <comment ref="E36" authorId="0">
      <text>
        <r>
          <rPr>
            <b/>
            <sz val="9"/>
            <color indexed="81"/>
            <rFont val="Tahoma"/>
            <family val="2"/>
          </rPr>
          <t>ServUS:</t>
        </r>
        <r>
          <rPr>
            <sz val="9"/>
            <color indexed="81"/>
            <rFont val="Tahoma"/>
            <family val="2"/>
          </rPr>
          <t xml:space="preserve">
DC cored at the bottom</t>
        </r>
      </text>
    </comment>
    <comment ref="E45" authorId="0">
      <text>
        <r>
          <rPr>
            <b/>
            <sz val="9"/>
            <color indexed="81"/>
            <rFont val="Tahoma"/>
            <family val="2"/>
          </rPr>
          <t>ServUS:</t>
        </r>
        <r>
          <rPr>
            <sz val="9"/>
            <color indexed="81"/>
            <rFont val="Tahoma"/>
            <family val="2"/>
          </rPr>
          <t xml:space="preserve">
"Yes" answer
</t>
        </r>
      </text>
    </comment>
  </commentList>
</comments>
</file>

<file path=xl/sharedStrings.xml><?xml version="1.0" encoding="utf-8"?>
<sst xmlns="http://schemas.openxmlformats.org/spreadsheetml/2006/main" count="405" uniqueCount="177">
  <si>
    <t>NCI indicators for the New HCBS Requirements</t>
  </si>
  <si>
    <t>HCBS Setting Requirements</t>
  </si>
  <si>
    <t>Table 1. New HCBS Setting (Residential and Day) Requirements</t>
  </si>
  <si>
    <t>Is integrated in and supports access to the greater community</t>
  </si>
  <si>
    <t>Provides oportunities to seek employment and work in competitive integrated settings, engage in community life, and control personal resources</t>
  </si>
  <si>
    <t>Allows full access to the greater community</t>
  </si>
  <si>
    <t xml:space="preserve">Is chosen by the individual from among residential and day options that include generic settings </t>
  </si>
  <si>
    <t>Respects the participants's option to choose a private unit in a residential setting</t>
  </si>
  <si>
    <t>Ensures right to privacy, diginity and respect and freedom from coercion and restraint</t>
  </si>
  <si>
    <t>Optimizes autonomy and independence in making life choices</t>
  </si>
  <si>
    <t>Facilitates choice and services and who provides them</t>
  </si>
  <si>
    <t>NCI indicators</t>
  </si>
  <si>
    <t xml:space="preserve">ACS </t>
  </si>
  <si>
    <t>Extend to which (frequency and with whom) people do certain activities in the community: shopping, errands, religious practice, entertainment, exercise, vacations, meetings</t>
  </si>
  <si>
    <t>#</t>
  </si>
  <si>
    <t>If people are supported to see friends and family when they want</t>
  </si>
  <si>
    <t>If people have a way to get places they want to go</t>
  </si>
  <si>
    <t>Whether the individual has friends or relationships with persons other than paid staff or family</t>
  </si>
  <si>
    <t>AFS</t>
  </si>
  <si>
    <t>If person participates in unpaid activities in a community-based setting (e.g., volunteer activities, skill training, community experiences)</t>
  </si>
  <si>
    <t>If person has a paid job in the community</t>
  </si>
  <si>
    <t>If person has a job in the community</t>
  </si>
  <si>
    <t>If person doen not have a job in the community, do they want one?</t>
  </si>
  <si>
    <t>If person wants to go somewhere, do they always have a way to get there</t>
  </si>
  <si>
    <t>Does your family member participate in community activities (such as going out to a restaurant, movies, or sporting events)?</t>
  </si>
  <si>
    <t>If person chose their residence, work and/or day services</t>
  </si>
  <si>
    <t>Did you/your family member choose the provider agencies who work with your family?</t>
  </si>
  <si>
    <t>Can you/your family member choose a different provider agency if s/he wants to?</t>
  </si>
  <si>
    <t>If person chose to live alone, or chose people they live with</t>
  </si>
  <si>
    <t>Does person have enough privacy, can be alone with guests, whether amil/email is read without permission, if the person can use the phone/internet without restriction, and whether people ask before entering the home or bedroom</t>
  </si>
  <si>
    <t>Does person feel safe at home?  At work/day program?  In neighborhood?  If person does not feel safe, is there someone to talk to?</t>
  </si>
  <si>
    <t>Do you know the process for filling a complaint or grievances against provider agencies or staff?</t>
  </si>
  <si>
    <t>Are you satisfied with the way complaints or grievances against provider agencies or staff are handled and resolved?</t>
  </si>
  <si>
    <t>Do you know how to report abuse or neglect?</t>
  </si>
  <si>
    <t>Within the past year, if abuse or neglect occurred, did you report it?  If yes, were the appropriate people responsive to your report?</t>
  </si>
  <si>
    <t>Did person make decisions or did others make decisions about: where and with whom they live, where they work, what day program they attend, their daily schedule, how to spend free time, how to spend their own money, choice of case manager, and choice of staff.</t>
  </si>
  <si>
    <t>Did you/your family member choose the individual support workers if s/he wants to?</t>
  </si>
  <si>
    <t>Can you/your family member choose different support workers if s/he wants to?</t>
  </si>
  <si>
    <t xml:space="preserve">If person would like to live somewhere else </t>
  </si>
  <si>
    <t>If person wants to go somewhere else during day (for those in a day program or other regularly scheduled activity)</t>
  </si>
  <si>
    <t>If person chose their case manager</t>
  </si>
  <si>
    <t>If person chose their home, job, and day program or activity staff</t>
  </si>
  <si>
    <t>If person chose their day/work support staff</t>
  </si>
  <si>
    <t>Did your family member choose the provider agency that work with him or her?</t>
  </si>
  <si>
    <t>Can your family member choose a different provider agency if s/he wants to</t>
  </si>
  <si>
    <t>Did your family member choose the individual support workers who work directly with him/her?</t>
  </si>
  <si>
    <t>Can your family member choose different support workers if s/he wants to?</t>
  </si>
  <si>
    <t>Did your family member choose his/her case manager/service coordinator</t>
  </si>
  <si>
    <t>Does your family member have control and/or input over the hiring and management of his/her support workers</t>
  </si>
  <si>
    <t>Text</t>
  </si>
  <si>
    <t>DC score</t>
  </si>
  <si>
    <t>NCI Average</t>
  </si>
  <si>
    <t>Table 2. New HCBS Setting Requirements for Provider Owned/Operated Residential Settings</t>
  </si>
  <si>
    <t>Privacy in their unit including entrances lockable by the individual (staff have keys as needed)</t>
  </si>
  <si>
    <t>If others announce themselves before entering home</t>
  </si>
  <si>
    <t>If others announce themselves before entering bedroom</t>
  </si>
  <si>
    <t>If person has enough privacy</t>
  </si>
  <si>
    <t>Choice of roommate</t>
  </si>
  <si>
    <t>Choice of people to live with</t>
  </si>
  <si>
    <t>control of their schedule and activities</t>
  </si>
  <si>
    <t>Control of daily schedule</t>
  </si>
  <si>
    <t>Control of free time use</t>
  </si>
  <si>
    <t>Visitors at any time</t>
  </si>
  <si>
    <t>Whether person can be alone with visitors or if there are some rules/restrictions</t>
  </si>
  <si>
    <t>If person can decide how to spend his/her own money</t>
  </si>
  <si>
    <t>Doesn your family member have enough support (e.g., support workers, community resources) to work or volunteer in the community?</t>
  </si>
  <si>
    <t>Does your family member know how much money is spent by the ID/DD agency on his/her hehalf?</t>
  </si>
  <si>
    <t>Does your family member have a say in how this money is spent?  If yes, does your family member have all the information s/he needs to make decisions about how to spend this money?</t>
  </si>
  <si>
    <t>48a</t>
  </si>
  <si>
    <t>If person interacts with neighbors</t>
  </si>
  <si>
    <t>If person has integrated employment as a goal in their service plan.</t>
  </si>
  <si>
    <t>If person has been treated with respect by paid providers/staff?</t>
  </si>
  <si>
    <t>N/A</t>
  </si>
  <si>
    <t>Does your family member have friends or relationships with persons other than paid support workds or family?</t>
  </si>
  <si>
    <t>Does your family member participate in community activities (such as going out to a restaurant, movies, or sporting event)?</t>
  </si>
  <si>
    <t>Does your family member have enough supports to work or volunteer in the community?</t>
  </si>
  <si>
    <t>Does your family member know how much money is spent by the ID/DD agency on his/her behalf?</t>
  </si>
  <si>
    <t>Does your family member have a say in how this money is spent?</t>
  </si>
  <si>
    <t>if your family member has a say, doe your family member have all the information s/he needs to make decision about how to spend this money?</t>
  </si>
  <si>
    <t>2013 -14                                                    310 valid survey</t>
  </si>
  <si>
    <t>2009 -10                                                 393 valid survey</t>
  </si>
  <si>
    <t>Do you choose the provider agencies who work with your family?</t>
  </si>
  <si>
    <t>Does your family member choose the provider agencies who work with your family?</t>
  </si>
  <si>
    <t>Can you choose a different provider agency if you want to?</t>
  </si>
  <si>
    <t>Do you know the process for filing a complaint or grievance against provider agencies or staff?</t>
  </si>
  <si>
    <t>Within the past year, if abuse or neglect occurred, did you report it?</t>
  </si>
  <si>
    <t>Do you choose the individual support workers who work directly with your family?</t>
  </si>
  <si>
    <t>Does your family member choose the individual support workers who work directly with your family?</t>
  </si>
  <si>
    <t>Can you choose different support workers if you want to?</t>
  </si>
  <si>
    <t>Did your family member choose his/her case mamager/service coordinator?</t>
  </si>
  <si>
    <t>Does your family member have control and/or input over the hiring and management of his/her support workers?</t>
  </si>
  <si>
    <t>Talk with their neighbors at least some of the time</t>
  </si>
  <si>
    <t># of times people reported they went out shopping in the past month</t>
  </si>
  <si>
    <t># of times people reported they went out on errands in the past month</t>
  </si>
  <si>
    <t>Reported # of times people went out in the past month for entertainment</t>
  </si>
  <si>
    <t># of times people reported they went out to religious services in the past month</t>
  </si>
  <si>
    <t># of times people reported they went out for exercise in the past month</t>
  </si>
  <si>
    <t># of times people reported they went on vacation in the past year</t>
  </si>
  <si>
    <t>Have friends and the support needed to see their friends when they want</t>
  </si>
  <si>
    <t>Have family they see and the support needed to see their family when they want</t>
  </si>
  <si>
    <t xml:space="preserve">Always have a way to get places when they want to go somewhere </t>
  </si>
  <si>
    <t>Do valunteer work</t>
  </si>
  <si>
    <t>Have a paid job in the cummunity</t>
  </si>
  <si>
    <t>Would like a job in the cummunity</t>
  </si>
  <si>
    <t>Have community employment as a goal in their service plan</t>
  </si>
  <si>
    <t>Choose or help decide what to buy with their money</t>
  </si>
  <si>
    <t>Chose or had some input in choosing where they live if not living at home with family</t>
  </si>
  <si>
    <t>Chose or had some input in choosing where they work</t>
  </si>
  <si>
    <t>Chose or had some input in choosing where they go during the day</t>
  </si>
  <si>
    <t>Chose or had some input in choosing their roommates if not in the family home</t>
  </si>
  <si>
    <t>Chose or were aware they could request to change the staff who help them at their home, job, or day program or activity</t>
  </si>
  <si>
    <t>choose or help decide their daily schedule</t>
  </si>
  <si>
    <t>Choose or help decide how to spend free time</t>
  </si>
  <si>
    <t>Would like to live somewhere else</t>
  </si>
  <si>
    <t>Attend a day program or activity and want to go someplace else or do something different during the day</t>
  </si>
  <si>
    <t>Chose or were aware they could request to change their case manager/service coordinator</t>
  </si>
  <si>
    <t>People always knock before entering home</t>
  </si>
  <si>
    <t>People always knock before entering bedroom</t>
  </si>
  <si>
    <t>Can be alone at home with visitors</t>
  </si>
  <si>
    <t>Have enough privacy at home</t>
  </si>
  <si>
    <t>Other never read their mail without permission</t>
  </si>
  <si>
    <t>Can use phone and Internet without restriction</t>
  </si>
  <si>
    <t>Rerely or never feel scared or afraid in their home</t>
  </si>
  <si>
    <t>Rarely or never feel scared or afraid in their neighborhood</t>
  </si>
  <si>
    <t>Rarely or never feel scared or afraid at their work or day program</t>
  </si>
  <si>
    <t>have someone to go to for help if they ever feel scared</t>
  </si>
  <si>
    <t>Staff are nice and polite</t>
  </si>
  <si>
    <t>DC YoY</t>
  </si>
  <si>
    <t>DC progrss better than National progress</t>
  </si>
  <si>
    <t>NCI Average YoY</t>
  </si>
  <si>
    <t>Survey question</t>
  </si>
  <si>
    <t>Yes</t>
  </si>
  <si>
    <t>2013 -14                    310 valid survey</t>
  </si>
  <si>
    <t>2009 -10                          393 valid survey</t>
  </si>
  <si>
    <t>NCI Indicator</t>
  </si>
  <si>
    <t>ACS</t>
  </si>
  <si>
    <t>Be aware they could request to change the staff who help them at their home, job, or day program or activity</t>
  </si>
  <si>
    <t>Choose or help decide their daily schedule</t>
  </si>
  <si>
    <t>Life decision scale</t>
  </si>
  <si>
    <t>Everyday choices scale</t>
  </si>
  <si>
    <t>Help make their service plan</t>
  </si>
  <si>
    <t>Mobility</t>
  </si>
  <si>
    <t>Have family they see and the support to see their family when they want</t>
  </si>
  <si>
    <t>Always have a way to get places when they want to go somewhere</t>
  </si>
  <si>
    <t>Customer service</t>
  </si>
  <si>
    <t>Met their service coordinator/case manager</t>
  </si>
  <si>
    <t>Service coordinator/case manager asks them what they want</t>
  </si>
  <si>
    <t>Service coordinator/case manager calls them back right away</t>
  </si>
  <si>
    <t>Get the services they need</t>
  </si>
  <si>
    <t>Health &amp; Wellness</t>
  </si>
  <si>
    <t>Had a complete physical exam in the past year</t>
  </si>
  <si>
    <t>Had a dental exam in the past year</t>
  </si>
  <si>
    <t>Had an eye exam in the past year</t>
  </si>
  <si>
    <t>Privacy</t>
  </si>
  <si>
    <t>Others never read their mail without permission</t>
  </si>
  <si>
    <t>Do you get enough information to help you participate in planning services for your family?</t>
  </si>
  <si>
    <t>Does the information you receive come from your case mamager/service coordinator?</t>
  </si>
  <si>
    <t>Does the case manager/service coordinator tell you about other public services that your family is eligible for (food stamps, SSI, housing subsidies, etc.)?</t>
  </si>
  <si>
    <t>Does you family member have a service plan?</t>
  </si>
  <si>
    <t>Does the plan include all the services and supports your family member wants?</t>
  </si>
  <si>
    <t>Does your family member receive all of the services listed in the plan?</t>
  </si>
  <si>
    <t>Does the plan include all the services and supports you family member needs?</t>
  </si>
  <si>
    <t>Did you discuss how to handle emergencies related to your family member at the last service planning meeting?</t>
  </si>
  <si>
    <t>Have you or your family member received information about his/her rights?</t>
  </si>
  <si>
    <t>Does your family member have access to the special equipment or accommodations that s/he needs (for example, wheelchair, ramp, communication board)?</t>
  </si>
  <si>
    <t>If your family member transitioned from school services to state-funded services during the past year, were you happy with the transition process?</t>
  </si>
  <si>
    <t>If you asked for crisis or emergency services during the past year, were services provided when needed?</t>
  </si>
  <si>
    <t>If needed, do you have access to mental health services for your family member?</t>
  </si>
  <si>
    <t>If you need respite services, do you have access to them?</t>
  </si>
  <si>
    <t>Are there other services that your family member needs that are not currently offered or available?</t>
  </si>
  <si>
    <t>Choice/Control/Rights</t>
  </si>
  <si>
    <t>Do you know how much money is spent by the ID/DD agency on behalf of your family member with a developmental disability?</t>
  </si>
  <si>
    <t>Do you feel that services and supports have reduced your family's out-of-pocket expenses for your family member's care?</t>
  </si>
  <si>
    <t>2013-14</t>
  </si>
  <si>
    <t>DC</t>
  </si>
  <si>
    <t>2009-10</t>
  </si>
  <si>
    <t>Group</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</si>
</sst>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1"/>
      <name val="Calibri"/>
      <family val="2"/>
      <scheme val="minor"/>
    </font>
    <font>
      <sz val="11"/>
      <color rgb="FF00B050"/>
      <name val="Calibri"/>
      <family val="2"/>
      <scheme val="minor"/>
    </font>
    <font>
      <sz val="9"/>
      <color indexed="81"/>
      <name val="Tahoma"/>
      <family val="2"/>
    </font>
    <font>
      <b/>
      <sz val="9"/>
      <color indexed="81"/>
      <name val="Tahoma"/>
      <family val="2"/>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auto="1"/>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bottom style="hair">
        <color auto="1"/>
      </bottom>
      <diagonal/>
    </border>
    <border>
      <left/>
      <right style="thin">
        <color indexed="64"/>
      </right>
      <top style="thin">
        <color indexed="64"/>
      </top>
      <bottom/>
      <diagonal/>
    </border>
    <border>
      <left style="hair">
        <color auto="1"/>
      </left>
      <right/>
      <top style="hair">
        <color auto="1"/>
      </top>
      <bottom style="thin">
        <color auto="1"/>
      </bottom>
      <diagonal/>
    </border>
    <border>
      <left style="thin">
        <color indexed="64"/>
      </left>
      <right/>
      <top style="thin">
        <color indexed="64"/>
      </top>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s>
  <cellStyleXfs count="1">
    <xf numFmtId="0" fontId="0" fillId="0" borderId="0"/>
  </cellStyleXfs>
  <cellXfs count="90">
    <xf numFmtId="0" fontId="0" fillId="0" borderId="0" xfId="0"/>
    <xf numFmtId="0" fontId="0" fillId="0" borderId="0" xfId="0"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2" fillId="0" borderId="1" xfId="0" applyFont="1" applyBorder="1" applyAlignment="1">
      <alignment horizontal="center"/>
    </xf>
    <xf numFmtId="9" fontId="0" fillId="0" borderId="1" xfId="0" applyNumberFormat="1" applyBorder="1" applyAlignment="1">
      <alignment horizontal="center" vertical="center"/>
    </xf>
    <xf numFmtId="9" fontId="1" fillId="0" borderId="1" xfId="0" applyNumberFormat="1" applyFont="1" applyBorder="1" applyAlignment="1">
      <alignment horizontal="center" vertical="center"/>
    </xf>
    <xf numFmtId="0" fontId="0" fillId="0" borderId="1" xfId="0" applyBorder="1" applyAlignment="1">
      <alignment horizontal="center" vertical="center" wrapText="1"/>
    </xf>
    <xf numFmtId="9" fontId="4" fillId="0" borderId="1" xfId="0" applyNumberFormat="1" applyFont="1" applyBorder="1" applyAlignment="1">
      <alignment horizontal="center" vertical="center"/>
    </xf>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9" fontId="5" fillId="0" borderId="1" xfId="0" applyNumberFormat="1" applyFont="1" applyBorder="1" applyAlignment="1">
      <alignment horizontal="center" vertical="center"/>
    </xf>
    <xf numFmtId="0" fontId="0" fillId="0" borderId="0" xfId="0" applyBorder="1" applyAlignment="1">
      <alignment horizontal="center"/>
    </xf>
    <xf numFmtId="0" fontId="2" fillId="0" borderId="0" xfId="0" applyFont="1" applyBorder="1" applyAlignment="1">
      <alignment horizontal="center" vertical="center"/>
    </xf>
    <xf numFmtId="9" fontId="0" fillId="0" borderId="1" xfId="0" applyNumberFormat="1" applyBorder="1" applyAlignment="1">
      <alignment horizontal="center"/>
    </xf>
    <xf numFmtId="9" fontId="0" fillId="0" borderId="1" xfId="0" applyNumberFormat="1" applyBorder="1" applyAlignment="1">
      <alignment horizontal="center" vertical="center"/>
    </xf>
    <xf numFmtId="0" fontId="0" fillId="0" borderId="1" xfId="0" applyBorder="1" applyAlignment="1">
      <alignment horizontal="center" wrapText="1"/>
    </xf>
    <xf numFmtId="0" fontId="0"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xf>
    <xf numFmtId="0" fontId="0" fillId="0" borderId="0" xfId="0" applyAlignment="1">
      <alignment vertical="center"/>
    </xf>
    <xf numFmtId="9" fontId="2" fillId="0" borderId="1" xfId="0" applyNumberFormat="1" applyFont="1" applyBorder="1" applyAlignment="1">
      <alignment horizontal="center" vertical="center"/>
    </xf>
    <xf numFmtId="0" fontId="0" fillId="0" borderId="1" xfId="0" applyFont="1" applyBorder="1" applyAlignment="1">
      <alignment horizontal="center" vertical="top"/>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1" xfId="0" applyBorder="1" applyAlignment="1">
      <alignment horizontal="center" vertical="top"/>
    </xf>
    <xf numFmtId="0" fontId="0" fillId="0" borderId="0" xfId="0" applyAlignment="1">
      <alignment horizontal="center" vertical="top"/>
    </xf>
    <xf numFmtId="0" fontId="0" fillId="0" borderId="0" xfId="0" applyAlignment="1">
      <alignment vertical="top"/>
    </xf>
    <xf numFmtId="9" fontId="0" fillId="0" borderId="8" xfId="0" applyNumberFormat="1" applyBorder="1" applyAlignment="1">
      <alignment horizontal="center" vertical="center"/>
    </xf>
    <xf numFmtId="9" fontId="0" fillId="0" borderId="9" xfId="0" applyNumberFormat="1" applyBorder="1" applyAlignment="1">
      <alignment horizontal="center" vertical="center"/>
    </xf>
    <xf numFmtId="9" fontId="0" fillId="0" borderId="11" xfId="0" applyNumberFormat="1" applyBorder="1" applyAlignment="1">
      <alignment horizontal="center" vertical="center"/>
    </xf>
    <xf numFmtId="9" fontId="0" fillId="0" borderId="12" xfId="0" applyNumberForma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9" fontId="0" fillId="0" borderId="14" xfId="0" applyNumberFormat="1" applyBorder="1" applyAlignment="1">
      <alignment horizontal="center" vertical="center"/>
    </xf>
    <xf numFmtId="9" fontId="0" fillId="0" borderId="15" xfId="0" applyNumberFormat="1" applyBorder="1" applyAlignment="1">
      <alignment horizontal="center" vertical="center"/>
    </xf>
    <xf numFmtId="9" fontId="0" fillId="0" borderId="17" xfId="0" applyNumberFormat="1" applyBorder="1" applyAlignment="1">
      <alignment horizontal="center" vertical="center"/>
    </xf>
    <xf numFmtId="9" fontId="0" fillId="0" borderId="18" xfId="0" applyNumberFormat="1" applyBorder="1" applyAlignment="1">
      <alignment horizontal="center" vertical="center"/>
    </xf>
    <xf numFmtId="0" fontId="0" fillId="0" borderId="19" xfId="0" applyBorder="1" applyAlignment="1">
      <alignment vertical="top"/>
    </xf>
    <xf numFmtId="0" fontId="0" fillId="0" borderId="20" xfId="0" applyBorder="1" applyAlignment="1">
      <alignment vertical="top"/>
    </xf>
    <xf numFmtId="0" fontId="0" fillId="0" borderId="21" xfId="0" applyBorder="1" applyAlignment="1">
      <alignment vertical="top"/>
    </xf>
    <xf numFmtId="0" fontId="0" fillId="0" borderId="26" xfId="0" applyBorder="1" applyAlignment="1">
      <alignment vertical="top"/>
    </xf>
    <xf numFmtId="0" fontId="0" fillId="0" borderId="25" xfId="0" applyBorder="1" applyAlignment="1">
      <alignment vertical="top" wrapText="1"/>
    </xf>
    <xf numFmtId="0" fontId="0" fillId="0" borderId="31" xfId="0" applyBorder="1"/>
    <xf numFmtId="0" fontId="0" fillId="0" borderId="31" xfId="0" applyBorder="1" applyAlignment="1">
      <alignment wrapText="1"/>
    </xf>
    <xf numFmtId="0" fontId="0" fillId="0" borderId="29" xfId="0" applyBorder="1" applyAlignment="1">
      <alignment wrapText="1"/>
    </xf>
    <xf numFmtId="0" fontId="0" fillId="0" borderId="32" xfId="0" applyBorder="1" applyAlignment="1">
      <alignment wrapText="1"/>
    </xf>
    <xf numFmtId="9" fontId="0" fillId="0" borderId="16" xfId="0" applyNumberFormat="1" applyBorder="1" applyAlignment="1">
      <alignment horizontal="center" vertical="center"/>
    </xf>
    <xf numFmtId="9" fontId="0" fillId="0" borderId="10" xfId="0" applyNumberFormat="1" applyBorder="1" applyAlignment="1">
      <alignment horizontal="center" vertical="center"/>
    </xf>
    <xf numFmtId="9" fontId="0" fillId="0" borderId="13" xfId="0" applyNumberFormat="1" applyBorder="1" applyAlignment="1">
      <alignment horizontal="center" vertical="center"/>
    </xf>
    <xf numFmtId="9" fontId="0" fillId="0" borderId="7" xfId="0" applyNumberForma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0" fillId="0" borderId="17" xfId="0" applyBorder="1" applyAlignment="1">
      <alignment horizontal="left" vertical="top"/>
    </xf>
    <xf numFmtId="0" fontId="0" fillId="0" borderId="11" xfId="0" applyBorder="1" applyAlignment="1">
      <alignment horizontal="left" vertical="top"/>
    </xf>
    <xf numFmtId="0" fontId="0" fillId="0" borderId="14" xfId="0" applyBorder="1" applyAlignment="1">
      <alignment horizontal="left" vertical="top"/>
    </xf>
    <xf numFmtId="0" fontId="0" fillId="0" borderId="8" xfId="0" applyBorder="1" applyAlignment="1">
      <alignment horizontal="left" vertical="top"/>
    </xf>
    <xf numFmtId="0" fontId="0" fillId="0" borderId="0" xfId="0" applyAlignment="1">
      <alignment horizontal="left" vertical="top"/>
    </xf>
    <xf numFmtId="0" fontId="0" fillId="0" borderId="2" xfId="0" applyBorder="1" applyAlignment="1">
      <alignment horizontal="center" vertical="top" wrapText="1"/>
    </xf>
    <xf numFmtId="0" fontId="0" fillId="0" borderId="4" xfId="0" applyBorder="1" applyAlignment="1">
      <alignment horizontal="center" vertical="top" wrapText="1"/>
    </xf>
    <xf numFmtId="0" fontId="0" fillId="0" borderId="3" xfId="0" applyBorder="1" applyAlignment="1">
      <alignment horizontal="center" vertical="top" wrapText="1"/>
    </xf>
    <xf numFmtId="0" fontId="0" fillId="0" borderId="1" xfId="0" applyFill="1" applyBorder="1" applyAlignment="1">
      <alignment horizontal="center" vertical="top" wrapText="1"/>
    </xf>
    <xf numFmtId="0" fontId="0" fillId="0" borderId="1" xfId="0" applyBorder="1" applyAlignment="1">
      <alignment horizontal="center" vertical="top" wrapText="1"/>
    </xf>
    <xf numFmtId="9" fontId="1" fillId="0" borderId="1" xfId="0" applyNumberFormat="1" applyFont="1" applyBorder="1" applyAlignment="1">
      <alignment horizontal="center" vertical="center"/>
    </xf>
    <xf numFmtId="9" fontId="0" fillId="0" borderId="1" xfId="0" applyNumberFormat="1"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center"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0" borderId="0" xfId="0" applyFont="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2" fillId="0" borderId="0" xfId="0" applyFont="1" applyAlignment="1">
      <alignment horizontal="center"/>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30" xfId="0" applyFont="1" applyBorder="1" applyAlignment="1">
      <alignment horizontal="center" vertical="center"/>
    </xf>
    <xf numFmtId="0" fontId="2" fillId="0" borderId="28" xfId="0" applyFont="1" applyBorder="1" applyAlignment="1">
      <alignment horizontal="center"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0" fillId="0" borderId="27"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2" xfId="0"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0"/>
  <sheetViews>
    <sheetView zoomScale="86" zoomScaleNormal="86" workbookViewId="0">
      <pane ySplit="5" topLeftCell="A39" activePane="bottomLeft" state="frozen"/>
      <selection pane="bottomLeft" activeCell="M49" sqref="M49"/>
    </sheetView>
  </sheetViews>
  <sheetFormatPr defaultRowHeight="15" x14ac:dyDescent="0.25"/>
  <cols>
    <col min="1" max="1" width="27.5703125" customWidth="1"/>
    <col min="2" max="2" width="39.42578125" customWidth="1"/>
    <col min="3" max="3" width="9.5703125" customWidth="1"/>
    <col min="4" max="4" width="5.140625" style="21" customWidth="1"/>
    <col min="5" max="5" width="34.28515625" style="1" customWidth="1"/>
    <col min="6" max="6" width="10" style="1" customWidth="1"/>
    <col min="7" max="7" width="11.28515625" style="1" customWidth="1"/>
    <col min="8" max="8" width="10" style="1" customWidth="1"/>
    <col min="9" max="9" width="11.28515625" style="1" customWidth="1"/>
    <col min="10" max="10" width="8.7109375" style="21" customWidth="1"/>
    <col min="11" max="11" width="12.140625" style="21" customWidth="1"/>
    <col min="12" max="12" width="14.28515625" style="23" customWidth="1"/>
  </cols>
  <sheetData>
    <row r="1" spans="1:12" ht="20.25" customHeight="1" x14ac:dyDescent="0.25">
      <c r="A1" s="74" t="s">
        <v>0</v>
      </c>
      <c r="B1" s="74"/>
      <c r="C1" s="74"/>
      <c r="D1" s="74"/>
      <c r="E1" s="74"/>
      <c r="F1" s="74"/>
      <c r="G1" s="74"/>
      <c r="H1" s="74"/>
      <c r="I1" s="74"/>
      <c r="J1" s="74"/>
      <c r="K1" s="74"/>
      <c r="L1" s="74"/>
    </row>
    <row r="2" spans="1:12" ht="15" customHeight="1" x14ac:dyDescent="0.25">
      <c r="A2" s="75" t="s">
        <v>2</v>
      </c>
      <c r="B2" s="75"/>
      <c r="C2" s="75"/>
      <c r="D2" s="75"/>
      <c r="E2" s="75"/>
      <c r="F2" s="75"/>
      <c r="G2" s="75"/>
      <c r="H2" s="75"/>
      <c r="I2" s="75"/>
      <c r="J2" s="75"/>
      <c r="K2" s="75"/>
      <c r="L2" s="75"/>
    </row>
    <row r="3" spans="1:12" ht="6.75" customHeight="1" x14ac:dyDescent="0.25">
      <c r="A3" s="15"/>
      <c r="B3" s="15"/>
      <c r="C3" s="15"/>
      <c r="D3" s="15"/>
      <c r="E3" s="15"/>
      <c r="F3" s="15"/>
      <c r="G3" s="15"/>
      <c r="H3" s="14"/>
      <c r="I3" s="14"/>
    </row>
    <row r="4" spans="1:12" ht="33.75" customHeight="1" x14ac:dyDescent="0.25">
      <c r="A4" s="68" t="s">
        <v>1</v>
      </c>
      <c r="B4" s="68" t="s">
        <v>49</v>
      </c>
      <c r="C4" s="69" t="s">
        <v>11</v>
      </c>
      <c r="D4" s="70" t="s">
        <v>14</v>
      </c>
      <c r="E4" s="68" t="s">
        <v>130</v>
      </c>
      <c r="F4" s="72" t="s">
        <v>132</v>
      </c>
      <c r="G4" s="73"/>
      <c r="H4" s="76" t="s">
        <v>133</v>
      </c>
      <c r="I4" s="76"/>
      <c r="J4" s="68" t="s">
        <v>127</v>
      </c>
      <c r="K4" s="69" t="s">
        <v>129</v>
      </c>
      <c r="L4" s="69" t="s">
        <v>128</v>
      </c>
    </row>
    <row r="5" spans="1:12" ht="30" customHeight="1" x14ac:dyDescent="0.25">
      <c r="A5" s="68"/>
      <c r="B5" s="68"/>
      <c r="C5" s="69"/>
      <c r="D5" s="71"/>
      <c r="E5" s="68"/>
      <c r="F5" s="6" t="s">
        <v>50</v>
      </c>
      <c r="G5" s="6" t="s">
        <v>51</v>
      </c>
      <c r="H5" s="6" t="s">
        <v>50</v>
      </c>
      <c r="I5" s="6" t="s">
        <v>51</v>
      </c>
      <c r="J5" s="68"/>
      <c r="K5" s="69"/>
      <c r="L5" s="69"/>
    </row>
    <row r="6" spans="1:12" ht="30" x14ac:dyDescent="0.25">
      <c r="A6" s="61" t="s">
        <v>3</v>
      </c>
      <c r="B6" s="25" t="s">
        <v>69</v>
      </c>
      <c r="C6" s="11" t="s">
        <v>12</v>
      </c>
      <c r="D6" s="11">
        <v>65</v>
      </c>
      <c r="E6" s="19" t="s">
        <v>91</v>
      </c>
      <c r="F6" s="12">
        <v>0.69</v>
      </c>
      <c r="G6" s="12">
        <v>0.65</v>
      </c>
      <c r="H6" s="2" t="s">
        <v>72</v>
      </c>
      <c r="I6" s="2" t="s">
        <v>72</v>
      </c>
      <c r="J6" s="2" t="s">
        <v>72</v>
      </c>
      <c r="K6" s="2" t="s">
        <v>72</v>
      </c>
      <c r="L6" s="2"/>
    </row>
    <row r="7" spans="1:12" ht="29.25" customHeight="1" x14ac:dyDescent="0.25">
      <c r="A7" s="62"/>
      <c r="B7" s="61" t="s">
        <v>13</v>
      </c>
      <c r="C7" s="2" t="s">
        <v>12</v>
      </c>
      <c r="D7" s="2">
        <v>48</v>
      </c>
      <c r="E7" s="18" t="s">
        <v>92</v>
      </c>
      <c r="F7" s="2">
        <v>3.9</v>
      </c>
      <c r="G7" s="2">
        <v>4.0999999999999996</v>
      </c>
      <c r="H7" s="2">
        <v>2.74</v>
      </c>
      <c r="I7" s="2">
        <v>3.53</v>
      </c>
      <c r="J7" s="24">
        <f>F7/H7-1</f>
        <v>0.42335766423357657</v>
      </c>
      <c r="K7" s="7">
        <f t="shared" ref="K7:K70" si="0">G7/I7-1</f>
        <v>0.16147308781869674</v>
      </c>
      <c r="L7" s="20" t="str">
        <f>IF(J7&gt;(K7+0.1),"Yes","No")</f>
        <v>Yes</v>
      </c>
    </row>
    <row r="8" spans="1:12" ht="30" customHeight="1" x14ac:dyDescent="0.25">
      <c r="A8" s="62"/>
      <c r="B8" s="62"/>
      <c r="C8" s="2" t="s">
        <v>12</v>
      </c>
      <c r="D8" s="2">
        <v>49</v>
      </c>
      <c r="E8" s="18" t="s">
        <v>93</v>
      </c>
      <c r="F8" s="2">
        <v>2.9</v>
      </c>
      <c r="G8" s="2">
        <v>2.9</v>
      </c>
      <c r="H8" s="2">
        <v>2.54</v>
      </c>
      <c r="I8" s="2">
        <v>2.73</v>
      </c>
      <c r="J8" s="24">
        <f t="shared" ref="J8:J71" si="1">F8/H8-1</f>
        <v>0.1417322834645669</v>
      </c>
      <c r="K8" s="7">
        <f t="shared" si="0"/>
        <v>6.2271062271062272E-2</v>
      </c>
      <c r="L8" s="20"/>
    </row>
    <row r="9" spans="1:12" ht="29.25" customHeight="1" x14ac:dyDescent="0.25">
      <c r="A9" s="62"/>
      <c r="B9" s="62"/>
      <c r="C9" s="2" t="s">
        <v>12</v>
      </c>
      <c r="D9" s="2">
        <v>50</v>
      </c>
      <c r="E9" s="18" t="s">
        <v>94</v>
      </c>
      <c r="F9" s="2">
        <v>3.7</v>
      </c>
      <c r="G9" s="2">
        <v>2.7</v>
      </c>
      <c r="H9" s="2">
        <v>2.76</v>
      </c>
      <c r="I9" s="2">
        <v>2.59</v>
      </c>
      <c r="J9" s="24">
        <f t="shared" si="1"/>
        <v>0.34057971014492772</v>
      </c>
      <c r="K9" s="7">
        <f t="shared" si="0"/>
        <v>4.2471042471042608E-2</v>
      </c>
      <c r="L9" s="20" t="str">
        <f t="shared" ref="L9:L64" si="2">IF(J9&gt;(K9+0.1),"Yes","No")</f>
        <v>Yes</v>
      </c>
    </row>
    <row r="10" spans="1:12" ht="42" customHeight="1" x14ac:dyDescent="0.25">
      <c r="A10" s="62"/>
      <c r="B10" s="62"/>
      <c r="C10" s="2" t="s">
        <v>12</v>
      </c>
      <c r="D10" s="2">
        <v>52</v>
      </c>
      <c r="E10" s="18" t="s">
        <v>95</v>
      </c>
      <c r="F10" s="2">
        <v>2.5</v>
      </c>
      <c r="G10" s="2">
        <v>1.8</v>
      </c>
      <c r="H10" s="2">
        <v>2.36</v>
      </c>
      <c r="I10" s="2">
        <v>1.94</v>
      </c>
      <c r="J10" s="24">
        <f t="shared" si="1"/>
        <v>5.9322033898305149E-2</v>
      </c>
      <c r="K10" s="7">
        <f t="shared" si="0"/>
        <v>-7.2164948453608213E-2</v>
      </c>
      <c r="L10" s="20" t="str">
        <f t="shared" si="2"/>
        <v>Yes</v>
      </c>
    </row>
    <row r="11" spans="1:12" ht="29.25" customHeight="1" x14ac:dyDescent="0.25">
      <c r="A11" s="62"/>
      <c r="B11" s="62"/>
      <c r="C11" s="2" t="s">
        <v>12</v>
      </c>
      <c r="D11" s="2">
        <v>53</v>
      </c>
      <c r="E11" s="18" t="s">
        <v>96</v>
      </c>
      <c r="F11" s="2">
        <v>10.199999999999999</v>
      </c>
      <c r="G11" s="2">
        <v>6.6</v>
      </c>
      <c r="H11" s="2">
        <v>7.18</v>
      </c>
      <c r="I11" s="2">
        <v>5.53</v>
      </c>
      <c r="J11" s="24">
        <f t="shared" si="1"/>
        <v>0.4206128133704734</v>
      </c>
      <c r="K11" s="7">
        <f t="shared" si="0"/>
        <v>0.1934900542495479</v>
      </c>
      <c r="L11" s="20" t="str">
        <f t="shared" si="2"/>
        <v>Yes</v>
      </c>
    </row>
    <row r="12" spans="1:12" ht="28.5" customHeight="1" x14ac:dyDescent="0.25">
      <c r="A12" s="62"/>
      <c r="B12" s="63"/>
      <c r="C12" s="2" t="s">
        <v>12</v>
      </c>
      <c r="D12" s="2">
        <v>54</v>
      </c>
      <c r="E12" s="18" t="s">
        <v>97</v>
      </c>
      <c r="F12" s="2">
        <v>1.1000000000000001</v>
      </c>
      <c r="G12" s="2">
        <v>0.8</v>
      </c>
      <c r="H12" s="2">
        <v>0.99</v>
      </c>
      <c r="I12" s="2">
        <v>0.63</v>
      </c>
      <c r="J12" s="24">
        <f t="shared" si="1"/>
        <v>0.11111111111111116</v>
      </c>
      <c r="K12" s="7">
        <f t="shared" si="0"/>
        <v>0.26984126984126999</v>
      </c>
      <c r="L12" s="20"/>
    </row>
    <row r="13" spans="1:12" ht="29.25" customHeight="1" x14ac:dyDescent="0.25">
      <c r="A13" s="62"/>
      <c r="B13" s="61" t="s">
        <v>15</v>
      </c>
      <c r="C13" s="2" t="s">
        <v>12</v>
      </c>
      <c r="D13" s="2">
        <v>58</v>
      </c>
      <c r="E13" s="18" t="s">
        <v>98</v>
      </c>
      <c r="F13" s="7">
        <v>0.73</v>
      </c>
      <c r="G13" s="7">
        <v>0.78</v>
      </c>
      <c r="H13" s="7">
        <v>0.81</v>
      </c>
      <c r="I13" s="7">
        <v>0.81</v>
      </c>
      <c r="J13" s="24">
        <f t="shared" si="1"/>
        <v>-9.8765432098765538E-2</v>
      </c>
      <c r="K13" s="7">
        <f t="shared" si="0"/>
        <v>-3.703703703703709E-2</v>
      </c>
      <c r="L13" s="20"/>
    </row>
    <row r="14" spans="1:12" ht="44.25" customHeight="1" x14ac:dyDescent="0.25">
      <c r="A14" s="62"/>
      <c r="B14" s="63"/>
      <c r="C14" s="2" t="s">
        <v>12</v>
      </c>
      <c r="D14" s="2">
        <v>59</v>
      </c>
      <c r="E14" s="18" t="s">
        <v>99</v>
      </c>
      <c r="F14" s="7">
        <v>0.8</v>
      </c>
      <c r="G14" s="7">
        <v>0.8</v>
      </c>
      <c r="H14" s="7">
        <v>0.86</v>
      </c>
      <c r="I14" s="7">
        <v>0.79</v>
      </c>
      <c r="J14" s="24">
        <f t="shared" si="1"/>
        <v>-6.9767441860465018E-2</v>
      </c>
      <c r="K14" s="7">
        <f t="shared" si="0"/>
        <v>1.2658227848101333E-2</v>
      </c>
      <c r="L14" s="20"/>
    </row>
    <row r="15" spans="1:12" ht="32.25" customHeight="1" x14ac:dyDescent="0.25">
      <c r="A15" s="62"/>
      <c r="B15" s="26" t="s">
        <v>16</v>
      </c>
      <c r="C15" s="2" t="s">
        <v>12</v>
      </c>
      <c r="D15" s="2">
        <v>78</v>
      </c>
      <c r="E15" s="18" t="s">
        <v>100</v>
      </c>
      <c r="F15" s="7">
        <v>0.79</v>
      </c>
      <c r="G15" s="7">
        <v>0.84</v>
      </c>
      <c r="H15" s="7">
        <v>0.85</v>
      </c>
      <c r="I15" s="7">
        <v>0.85</v>
      </c>
      <c r="J15" s="24">
        <f t="shared" si="1"/>
        <v>-7.0588235294117618E-2</v>
      </c>
      <c r="K15" s="7">
        <f t="shared" si="0"/>
        <v>-1.1764705882352899E-2</v>
      </c>
      <c r="L15" s="20"/>
    </row>
    <row r="16" spans="1:12" ht="60" x14ac:dyDescent="0.25">
      <c r="A16" s="62"/>
      <c r="B16" s="26" t="s">
        <v>17</v>
      </c>
      <c r="C16" s="2" t="s">
        <v>18</v>
      </c>
      <c r="D16" s="2">
        <v>50</v>
      </c>
      <c r="E16" s="9" t="s">
        <v>73</v>
      </c>
      <c r="F16" s="7">
        <v>0.76</v>
      </c>
      <c r="G16" s="7">
        <v>0.78</v>
      </c>
      <c r="H16" s="7">
        <v>0.75</v>
      </c>
      <c r="I16" s="7">
        <v>0.73</v>
      </c>
      <c r="J16" s="24">
        <f t="shared" si="1"/>
        <v>1.3333333333333419E-2</v>
      </c>
      <c r="K16" s="7">
        <f t="shared" si="0"/>
        <v>6.8493150684931559E-2</v>
      </c>
      <c r="L16" s="20"/>
    </row>
    <row r="17" spans="1:12" ht="60.75" customHeight="1" x14ac:dyDescent="0.25">
      <c r="A17" s="62"/>
      <c r="B17" s="26" t="s">
        <v>19</v>
      </c>
      <c r="C17" s="2" t="s">
        <v>12</v>
      </c>
      <c r="D17" s="2">
        <v>40</v>
      </c>
      <c r="E17" s="9" t="s">
        <v>101</v>
      </c>
      <c r="F17" s="7">
        <v>0.32</v>
      </c>
      <c r="G17" s="7">
        <v>0.32</v>
      </c>
      <c r="H17" s="7">
        <v>0.28000000000000003</v>
      </c>
      <c r="I17" s="7">
        <v>0.28999999999999998</v>
      </c>
      <c r="J17" s="24">
        <f t="shared" si="1"/>
        <v>0.14285714285714279</v>
      </c>
      <c r="K17" s="7">
        <f t="shared" si="0"/>
        <v>0.10344827586206917</v>
      </c>
      <c r="L17" s="20"/>
    </row>
    <row r="18" spans="1:12" x14ac:dyDescent="0.25">
      <c r="A18" s="63"/>
      <c r="B18" s="26" t="s">
        <v>20</v>
      </c>
      <c r="C18" s="2" t="s">
        <v>12</v>
      </c>
      <c r="D18" s="2">
        <v>30</v>
      </c>
      <c r="E18" s="18" t="s">
        <v>102</v>
      </c>
      <c r="F18" s="7">
        <v>0.2</v>
      </c>
      <c r="G18" s="7">
        <v>0.16</v>
      </c>
      <c r="H18" s="2" t="s">
        <v>72</v>
      </c>
      <c r="I18" s="2" t="s">
        <v>72</v>
      </c>
      <c r="J18" s="2" t="s">
        <v>72</v>
      </c>
      <c r="K18" s="2" t="s">
        <v>72</v>
      </c>
      <c r="L18" s="20"/>
    </row>
    <row r="19" spans="1:12" ht="16.5" customHeight="1" x14ac:dyDescent="0.25">
      <c r="A19" s="61" t="s">
        <v>4</v>
      </c>
      <c r="B19" s="27" t="s">
        <v>21</v>
      </c>
      <c r="C19" s="2" t="s">
        <v>12</v>
      </c>
      <c r="D19" s="2"/>
      <c r="E19" s="9"/>
      <c r="F19" s="7"/>
      <c r="G19" s="7"/>
      <c r="H19" s="16">
        <v>0.42</v>
      </c>
      <c r="I19" s="16">
        <v>0.27</v>
      </c>
      <c r="J19" s="2" t="s">
        <v>72</v>
      </c>
      <c r="K19" s="2" t="s">
        <v>72</v>
      </c>
      <c r="L19" s="20"/>
    </row>
    <row r="20" spans="1:12" ht="30" x14ac:dyDescent="0.25">
      <c r="A20" s="62"/>
      <c r="B20" s="27" t="s">
        <v>22</v>
      </c>
      <c r="C20" s="2" t="s">
        <v>12</v>
      </c>
      <c r="D20" s="2">
        <v>37</v>
      </c>
      <c r="E20" s="9" t="s">
        <v>103</v>
      </c>
      <c r="F20" s="7">
        <v>0.57999999999999996</v>
      </c>
      <c r="G20" s="7">
        <v>0.49</v>
      </c>
      <c r="H20" s="7">
        <v>0.67</v>
      </c>
      <c r="I20" s="7">
        <v>0.46</v>
      </c>
      <c r="J20" s="24">
        <f t="shared" si="1"/>
        <v>-0.13432835820895539</v>
      </c>
      <c r="K20" s="7">
        <f t="shared" si="0"/>
        <v>6.5217391304347672E-2</v>
      </c>
      <c r="L20" s="20"/>
    </row>
    <row r="21" spans="1:12" ht="30" x14ac:dyDescent="0.25">
      <c r="A21" s="62"/>
      <c r="B21" s="27" t="s">
        <v>70</v>
      </c>
      <c r="C21" s="2" t="s">
        <v>12</v>
      </c>
      <c r="D21" s="2">
        <v>38</v>
      </c>
      <c r="E21" s="9" t="s">
        <v>104</v>
      </c>
      <c r="F21" s="13">
        <v>0.37</v>
      </c>
      <c r="G21" s="7">
        <v>0.25</v>
      </c>
      <c r="H21" s="13">
        <v>0.46</v>
      </c>
      <c r="I21" s="7">
        <v>0.23</v>
      </c>
      <c r="J21" s="24">
        <f t="shared" si="1"/>
        <v>-0.19565217391304357</v>
      </c>
      <c r="K21" s="7">
        <f t="shared" si="0"/>
        <v>8.6956521739130377E-2</v>
      </c>
      <c r="L21" s="20" t="s">
        <v>131</v>
      </c>
    </row>
    <row r="22" spans="1:12" ht="60" x14ac:dyDescent="0.25">
      <c r="A22" s="62"/>
      <c r="B22" s="26" t="s">
        <v>19</v>
      </c>
      <c r="C22" s="2" t="s">
        <v>12</v>
      </c>
      <c r="D22" s="2">
        <v>40</v>
      </c>
      <c r="E22" s="9" t="s">
        <v>101</v>
      </c>
      <c r="F22" s="7">
        <v>0.32</v>
      </c>
      <c r="G22" s="7">
        <v>0.32</v>
      </c>
      <c r="H22" s="7">
        <v>0.28000000000000003</v>
      </c>
      <c r="I22" s="7">
        <v>0.28999999999999998</v>
      </c>
      <c r="J22" s="24">
        <f t="shared" si="1"/>
        <v>0.14285714285714279</v>
      </c>
      <c r="K22" s="7">
        <f t="shared" si="0"/>
        <v>0.10344827586206917</v>
      </c>
      <c r="L22" s="20"/>
    </row>
    <row r="23" spans="1:12" ht="30" x14ac:dyDescent="0.25">
      <c r="A23" s="62"/>
      <c r="B23" s="26" t="s">
        <v>64</v>
      </c>
      <c r="C23" s="2" t="s">
        <v>12</v>
      </c>
      <c r="D23" s="2">
        <v>26</v>
      </c>
      <c r="E23" s="9" t="s">
        <v>105</v>
      </c>
      <c r="F23" s="7">
        <v>0.85</v>
      </c>
      <c r="G23" s="7">
        <v>0.86</v>
      </c>
      <c r="H23" s="7">
        <v>0.79</v>
      </c>
      <c r="I23" s="7">
        <v>0.88</v>
      </c>
      <c r="J23" s="24">
        <f t="shared" si="1"/>
        <v>7.5949367088607556E-2</v>
      </c>
      <c r="K23" s="7">
        <f t="shared" si="0"/>
        <v>-2.2727272727272707E-2</v>
      </c>
      <c r="L23" s="20"/>
    </row>
    <row r="24" spans="1:12" ht="60" x14ac:dyDescent="0.25">
      <c r="A24" s="62"/>
      <c r="B24" s="26" t="s">
        <v>65</v>
      </c>
      <c r="C24" s="2" t="s">
        <v>18</v>
      </c>
      <c r="D24" s="2">
        <v>51</v>
      </c>
      <c r="E24" s="9" t="s">
        <v>75</v>
      </c>
      <c r="F24" s="7">
        <v>0.67</v>
      </c>
      <c r="G24" s="7">
        <v>0.63</v>
      </c>
      <c r="H24" s="2" t="s">
        <v>72</v>
      </c>
      <c r="I24" s="2" t="s">
        <v>72</v>
      </c>
      <c r="J24" s="2" t="s">
        <v>72</v>
      </c>
      <c r="K24" s="2" t="s">
        <v>72</v>
      </c>
      <c r="L24" s="20"/>
    </row>
    <row r="25" spans="1:12" ht="45" x14ac:dyDescent="0.25">
      <c r="A25" s="62"/>
      <c r="B25" s="26" t="s">
        <v>66</v>
      </c>
      <c r="C25" s="2" t="s">
        <v>18</v>
      </c>
      <c r="D25" s="2">
        <v>46</v>
      </c>
      <c r="E25" s="9" t="s">
        <v>76</v>
      </c>
      <c r="F25" s="8">
        <v>0.06</v>
      </c>
      <c r="G25" s="7">
        <v>0.13</v>
      </c>
      <c r="H25" s="8">
        <f>38%+6%</f>
        <v>0.44</v>
      </c>
      <c r="I25" s="7">
        <f>40%+17.7%</f>
        <v>0.57699999999999996</v>
      </c>
      <c r="J25" s="24">
        <f t="shared" si="1"/>
        <v>-0.86363636363636365</v>
      </c>
      <c r="K25" s="7">
        <f t="shared" si="0"/>
        <v>-0.77469670710571925</v>
      </c>
      <c r="L25" s="20"/>
    </row>
    <row r="26" spans="1:12" ht="43.5" customHeight="1" x14ac:dyDescent="0.25">
      <c r="A26" s="62"/>
      <c r="B26" s="65" t="s">
        <v>67</v>
      </c>
      <c r="C26" s="2" t="s">
        <v>18</v>
      </c>
      <c r="D26" s="2">
        <v>48</v>
      </c>
      <c r="E26" s="9" t="s">
        <v>77</v>
      </c>
      <c r="F26" s="10">
        <v>0.3</v>
      </c>
      <c r="G26" s="7">
        <v>0.32</v>
      </c>
      <c r="H26" s="8">
        <f>30.1%+7.2%</f>
        <v>0.373</v>
      </c>
      <c r="I26" s="7">
        <f>35%+17.5%</f>
        <v>0.52499999999999991</v>
      </c>
      <c r="J26" s="24">
        <f t="shared" si="1"/>
        <v>-0.19571045576407509</v>
      </c>
      <c r="K26" s="7">
        <f t="shared" si="0"/>
        <v>-0.39047619047619031</v>
      </c>
      <c r="L26" s="20"/>
    </row>
    <row r="27" spans="1:12" ht="78.75" customHeight="1" x14ac:dyDescent="0.25">
      <c r="A27" s="63"/>
      <c r="B27" s="65"/>
      <c r="C27" s="2" t="s">
        <v>18</v>
      </c>
      <c r="D27" s="2" t="s">
        <v>68</v>
      </c>
      <c r="E27" s="9" t="s">
        <v>78</v>
      </c>
      <c r="F27" s="7">
        <v>0.78</v>
      </c>
      <c r="G27" s="7">
        <v>0.88</v>
      </c>
      <c r="H27" s="2" t="s">
        <v>72</v>
      </c>
      <c r="I27" s="2" t="s">
        <v>72</v>
      </c>
      <c r="J27" s="2" t="s">
        <v>72</v>
      </c>
      <c r="K27" s="2" t="s">
        <v>72</v>
      </c>
      <c r="L27" s="20"/>
    </row>
    <row r="28" spans="1:12" ht="30" customHeight="1" x14ac:dyDescent="0.25">
      <c r="A28" s="61" t="s">
        <v>5</v>
      </c>
      <c r="B28" s="65" t="s">
        <v>13</v>
      </c>
      <c r="C28" s="2" t="s">
        <v>12</v>
      </c>
      <c r="D28" s="2">
        <v>48</v>
      </c>
      <c r="E28" s="18" t="s">
        <v>92</v>
      </c>
      <c r="F28" s="2">
        <v>3.9</v>
      </c>
      <c r="G28" s="2">
        <v>4.0999999999999996</v>
      </c>
      <c r="H28" s="2">
        <v>2.74</v>
      </c>
      <c r="I28" s="2">
        <v>3.53</v>
      </c>
      <c r="J28" s="24">
        <f t="shared" si="1"/>
        <v>0.42335766423357657</v>
      </c>
      <c r="K28" s="7">
        <f t="shared" si="0"/>
        <v>0.16147308781869674</v>
      </c>
      <c r="L28" s="20" t="str">
        <f t="shared" si="2"/>
        <v>Yes</v>
      </c>
    </row>
    <row r="29" spans="1:12" ht="30" customHeight="1" x14ac:dyDescent="0.25">
      <c r="A29" s="62"/>
      <c r="B29" s="65"/>
      <c r="C29" s="2" t="s">
        <v>12</v>
      </c>
      <c r="D29" s="2">
        <v>49</v>
      </c>
      <c r="E29" s="18" t="s">
        <v>93</v>
      </c>
      <c r="F29" s="2">
        <v>2.9</v>
      </c>
      <c r="G29" s="2">
        <v>2.8</v>
      </c>
      <c r="H29" s="2">
        <v>2.54</v>
      </c>
      <c r="I29" s="2">
        <v>2.73</v>
      </c>
      <c r="J29" s="24">
        <f t="shared" si="1"/>
        <v>0.1417322834645669</v>
      </c>
      <c r="K29" s="7">
        <f t="shared" si="0"/>
        <v>2.564102564102555E-2</v>
      </c>
      <c r="L29" s="20" t="str">
        <f t="shared" si="2"/>
        <v>Yes</v>
      </c>
    </row>
    <row r="30" spans="1:12" ht="29.25" customHeight="1" x14ac:dyDescent="0.25">
      <c r="A30" s="62"/>
      <c r="B30" s="65"/>
      <c r="C30" s="2" t="s">
        <v>12</v>
      </c>
      <c r="D30" s="2">
        <v>50</v>
      </c>
      <c r="E30" s="18" t="s">
        <v>94</v>
      </c>
      <c r="F30" s="2">
        <v>3.7</v>
      </c>
      <c r="G30" s="2">
        <v>2.7</v>
      </c>
      <c r="H30" s="2">
        <v>2.76</v>
      </c>
      <c r="I30" s="2">
        <v>2.59</v>
      </c>
      <c r="J30" s="24">
        <f t="shared" si="1"/>
        <v>0.34057971014492772</v>
      </c>
      <c r="K30" s="7">
        <f t="shared" si="0"/>
        <v>4.2471042471042608E-2</v>
      </c>
      <c r="L30" s="20" t="str">
        <f t="shared" si="2"/>
        <v>Yes</v>
      </c>
    </row>
    <row r="31" spans="1:12" ht="45" x14ac:dyDescent="0.25">
      <c r="A31" s="62"/>
      <c r="B31" s="65"/>
      <c r="C31" s="2" t="s">
        <v>12</v>
      </c>
      <c r="D31" s="2">
        <v>52</v>
      </c>
      <c r="E31" s="18" t="s">
        <v>95</v>
      </c>
      <c r="F31" s="2">
        <v>2.5</v>
      </c>
      <c r="G31" s="2">
        <v>1.8</v>
      </c>
      <c r="H31" s="2">
        <v>2.36</v>
      </c>
      <c r="I31" s="2">
        <v>1.94</v>
      </c>
      <c r="J31" s="24">
        <f t="shared" si="1"/>
        <v>5.9322033898305149E-2</v>
      </c>
      <c r="K31" s="7">
        <f t="shared" si="0"/>
        <v>-7.2164948453608213E-2</v>
      </c>
      <c r="L31" s="20"/>
    </row>
    <row r="32" spans="1:12" ht="45" x14ac:dyDescent="0.25">
      <c r="A32" s="62"/>
      <c r="B32" s="65"/>
      <c r="C32" s="2" t="s">
        <v>12</v>
      </c>
      <c r="D32" s="2">
        <v>53</v>
      </c>
      <c r="E32" s="18" t="s">
        <v>96</v>
      </c>
      <c r="F32" s="2">
        <v>10.199999999999999</v>
      </c>
      <c r="G32" s="2">
        <v>6.6</v>
      </c>
      <c r="H32" s="2">
        <v>7.18</v>
      </c>
      <c r="I32" s="2">
        <v>5.53</v>
      </c>
      <c r="J32" s="24">
        <f t="shared" si="1"/>
        <v>0.4206128133704734</v>
      </c>
      <c r="K32" s="7">
        <f t="shared" si="0"/>
        <v>0.1934900542495479</v>
      </c>
      <c r="L32" s="20" t="str">
        <f t="shared" si="2"/>
        <v>Yes</v>
      </c>
    </row>
    <row r="33" spans="1:12" ht="30" x14ac:dyDescent="0.25">
      <c r="A33" s="62"/>
      <c r="B33" s="65"/>
      <c r="C33" s="2" t="s">
        <v>12</v>
      </c>
      <c r="D33" s="2">
        <v>54</v>
      </c>
      <c r="E33" s="18" t="s">
        <v>97</v>
      </c>
      <c r="F33" s="2">
        <v>1.1000000000000001</v>
      </c>
      <c r="G33" s="2">
        <v>0.8</v>
      </c>
      <c r="H33" s="2">
        <v>0.99</v>
      </c>
      <c r="I33" s="2">
        <v>0.63</v>
      </c>
      <c r="J33" s="24">
        <f t="shared" si="1"/>
        <v>0.11111111111111116</v>
      </c>
      <c r="K33" s="7">
        <f t="shared" si="0"/>
        <v>0.26984126984126999</v>
      </c>
      <c r="L33" s="20"/>
    </row>
    <row r="34" spans="1:12" ht="30.75" customHeight="1" x14ac:dyDescent="0.25">
      <c r="A34" s="62"/>
      <c r="B34" s="27" t="s">
        <v>23</v>
      </c>
      <c r="C34" s="2" t="s">
        <v>12</v>
      </c>
      <c r="D34" s="2">
        <v>78</v>
      </c>
      <c r="E34" s="18" t="s">
        <v>100</v>
      </c>
      <c r="F34" s="7">
        <v>0.79</v>
      </c>
      <c r="G34" s="7">
        <v>0.84</v>
      </c>
      <c r="H34" s="7">
        <v>0.85</v>
      </c>
      <c r="I34" s="7">
        <v>0.85</v>
      </c>
      <c r="J34" s="24">
        <f t="shared" si="1"/>
        <v>-7.0588235294117618E-2</v>
      </c>
      <c r="K34" s="7">
        <f t="shared" si="0"/>
        <v>-1.1764705882352899E-2</v>
      </c>
      <c r="L34" s="20"/>
    </row>
    <row r="35" spans="1:12" ht="60" x14ac:dyDescent="0.25">
      <c r="A35" s="63"/>
      <c r="B35" s="27" t="s">
        <v>24</v>
      </c>
      <c r="C35" s="2" t="s">
        <v>18</v>
      </c>
      <c r="D35" s="2">
        <v>49</v>
      </c>
      <c r="E35" s="9" t="s">
        <v>74</v>
      </c>
      <c r="F35" s="7">
        <v>0.9</v>
      </c>
      <c r="G35" s="7">
        <v>0.87</v>
      </c>
      <c r="H35" s="7">
        <f>34.1%+34.1%</f>
        <v>0.68200000000000005</v>
      </c>
      <c r="I35" s="7">
        <f>36.4%+36.6%</f>
        <v>0.73</v>
      </c>
      <c r="J35" s="24">
        <f t="shared" si="1"/>
        <v>0.31964809384164217</v>
      </c>
      <c r="K35" s="7">
        <f t="shared" si="0"/>
        <v>0.19178082191780832</v>
      </c>
      <c r="L35" s="20" t="str">
        <f t="shared" si="2"/>
        <v>Yes</v>
      </c>
    </row>
    <row r="36" spans="1:12" ht="45" x14ac:dyDescent="0.25">
      <c r="A36" s="61" t="s">
        <v>6</v>
      </c>
      <c r="B36" s="64" t="s">
        <v>25</v>
      </c>
      <c r="C36" s="5" t="s">
        <v>12</v>
      </c>
      <c r="D36" s="2">
        <v>19</v>
      </c>
      <c r="E36" s="18" t="s">
        <v>106</v>
      </c>
      <c r="F36" s="7">
        <v>0.44</v>
      </c>
      <c r="G36" s="7">
        <v>0.49</v>
      </c>
      <c r="H36" s="7">
        <v>0.47</v>
      </c>
      <c r="I36" s="7">
        <v>0.43</v>
      </c>
      <c r="J36" s="24">
        <f t="shared" si="1"/>
        <v>-6.3829787234042534E-2</v>
      </c>
      <c r="K36" s="7">
        <f t="shared" si="0"/>
        <v>0.13953488372093026</v>
      </c>
      <c r="L36" s="20"/>
    </row>
    <row r="37" spans="1:12" ht="30" x14ac:dyDescent="0.25">
      <c r="A37" s="62"/>
      <c r="B37" s="64"/>
      <c r="C37" s="5" t="s">
        <v>12</v>
      </c>
      <c r="D37" s="2">
        <v>21</v>
      </c>
      <c r="E37" s="18" t="s">
        <v>107</v>
      </c>
      <c r="F37" s="7" t="s">
        <v>72</v>
      </c>
      <c r="G37" s="7">
        <v>0.81</v>
      </c>
      <c r="H37" s="7">
        <v>0.76</v>
      </c>
      <c r="I37" s="7">
        <v>0.82</v>
      </c>
      <c r="J37" s="2" t="s">
        <v>72</v>
      </c>
      <c r="K37" s="7">
        <f t="shared" si="0"/>
        <v>-1.2195121951219412E-2</v>
      </c>
      <c r="L37" s="20"/>
    </row>
    <row r="38" spans="1:12" ht="30" x14ac:dyDescent="0.25">
      <c r="A38" s="62"/>
      <c r="B38" s="64"/>
      <c r="C38" s="5" t="s">
        <v>12</v>
      </c>
      <c r="D38" s="2">
        <v>22</v>
      </c>
      <c r="E38" s="18" t="s">
        <v>108</v>
      </c>
      <c r="F38" s="7">
        <v>0.56000000000000005</v>
      </c>
      <c r="G38" s="7">
        <v>0.57999999999999996</v>
      </c>
      <c r="H38" s="7">
        <v>0.65</v>
      </c>
      <c r="I38" s="7">
        <v>0.63</v>
      </c>
      <c r="J38" s="24">
        <f t="shared" si="1"/>
        <v>-0.13846153846153841</v>
      </c>
      <c r="K38" s="7">
        <f t="shared" si="0"/>
        <v>-7.9365079365079416E-2</v>
      </c>
      <c r="L38" s="20"/>
    </row>
    <row r="39" spans="1:12" ht="30" x14ac:dyDescent="0.25">
      <c r="A39" s="62"/>
      <c r="B39" s="64" t="s">
        <v>26</v>
      </c>
      <c r="C39" s="5" t="s">
        <v>18</v>
      </c>
      <c r="D39" s="2">
        <v>35</v>
      </c>
      <c r="E39" s="18" t="s">
        <v>81</v>
      </c>
      <c r="F39" s="8">
        <f>44%+23%</f>
        <v>0.67</v>
      </c>
      <c r="G39" s="7">
        <f>60%+21%</f>
        <v>0.80999999999999994</v>
      </c>
      <c r="H39" s="8">
        <f>31.9%+18.1%</f>
        <v>0.5</v>
      </c>
      <c r="I39" s="7">
        <f>59.6%+15.9%</f>
        <v>0.755</v>
      </c>
      <c r="J39" s="24">
        <f t="shared" si="1"/>
        <v>0.34000000000000008</v>
      </c>
      <c r="K39" s="7">
        <f t="shared" si="0"/>
        <v>7.2847682119205226E-2</v>
      </c>
      <c r="L39" s="20"/>
    </row>
    <row r="40" spans="1:12" ht="45" x14ac:dyDescent="0.25">
      <c r="A40" s="62"/>
      <c r="B40" s="64"/>
      <c r="C40" s="5" t="s">
        <v>18</v>
      </c>
      <c r="D40" s="2">
        <v>36</v>
      </c>
      <c r="E40" s="18" t="s">
        <v>82</v>
      </c>
      <c r="F40" s="7">
        <f>35%+13%</f>
        <v>0.48</v>
      </c>
      <c r="G40" s="7">
        <f>36%+14%</f>
        <v>0.5</v>
      </c>
      <c r="H40" s="8">
        <f>31.9%+18.1%</f>
        <v>0.5</v>
      </c>
      <c r="I40" s="7">
        <f>59.6%+15.9%</f>
        <v>0.755</v>
      </c>
      <c r="J40" s="24">
        <f t="shared" si="1"/>
        <v>-4.0000000000000036E-2</v>
      </c>
      <c r="K40" s="7">
        <f t="shared" si="0"/>
        <v>-0.33774834437086088</v>
      </c>
      <c r="L40" s="20"/>
    </row>
    <row r="41" spans="1:12" ht="45" x14ac:dyDescent="0.25">
      <c r="A41" s="63"/>
      <c r="B41" s="26" t="s">
        <v>27</v>
      </c>
      <c r="C41" s="2" t="s">
        <v>18</v>
      </c>
      <c r="D41" s="2">
        <v>37</v>
      </c>
      <c r="E41" s="9" t="s">
        <v>83</v>
      </c>
      <c r="F41" s="7">
        <f>64%+25%</f>
        <v>0.89</v>
      </c>
      <c r="G41" s="7">
        <f>66%+22%</f>
        <v>0.88</v>
      </c>
      <c r="H41" s="2" t="s">
        <v>72</v>
      </c>
      <c r="I41" s="2" t="s">
        <v>72</v>
      </c>
      <c r="J41" s="2" t="s">
        <v>72</v>
      </c>
      <c r="K41" s="2" t="s">
        <v>72</v>
      </c>
      <c r="L41" s="20"/>
    </row>
    <row r="42" spans="1:12" ht="45" x14ac:dyDescent="0.25">
      <c r="A42" s="61" t="s">
        <v>7</v>
      </c>
      <c r="B42" s="65" t="s">
        <v>28</v>
      </c>
      <c r="C42" s="5" t="s">
        <v>12</v>
      </c>
      <c r="D42" s="2">
        <v>19</v>
      </c>
      <c r="E42" s="18" t="s">
        <v>106</v>
      </c>
      <c r="F42" s="7">
        <v>0.44</v>
      </c>
      <c r="G42" s="7">
        <v>0.49</v>
      </c>
      <c r="H42" s="7">
        <v>0.47</v>
      </c>
      <c r="I42" s="7">
        <v>0.43</v>
      </c>
      <c r="J42" s="24">
        <f t="shared" si="1"/>
        <v>-6.3829787234042534E-2</v>
      </c>
      <c r="K42" s="7">
        <f t="shared" si="0"/>
        <v>0.13953488372093026</v>
      </c>
      <c r="L42" s="20"/>
    </row>
    <row r="43" spans="1:12" ht="45" x14ac:dyDescent="0.25">
      <c r="A43" s="63"/>
      <c r="B43" s="65"/>
      <c r="C43" s="5" t="s">
        <v>12</v>
      </c>
      <c r="D43" s="2">
        <v>20</v>
      </c>
      <c r="E43" s="18" t="s">
        <v>109</v>
      </c>
      <c r="F43" s="7">
        <v>0.44</v>
      </c>
      <c r="G43" s="7">
        <v>0.43</v>
      </c>
      <c r="H43" s="7">
        <v>0.49</v>
      </c>
      <c r="I43" s="7">
        <v>0.39</v>
      </c>
      <c r="J43" s="24">
        <f t="shared" si="1"/>
        <v>-0.10204081632653061</v>
      </c>
      <c r="K43" s="7">
        <f t="shared" si="0"/>
        <v>0.10256410256410242</v>
      </c>
      <c r="L43" s="20"/>
    </row>
    <row r="44" spans="1:12" ht="30" x14ac:dyDescent="0.25">
      <c r="A44" s="61" t="s">
        <v>8</v>
      </c>
      <c r="B44" s="26" t="s">
        <v>71</v>
      </c>
      <c r="C44" s="5" t="s">
        <v>12</v>
      </c>
      <c r="D44" s="2">
        <v>101</v>
      </c>
      <c r="E44" s="18" t="s">
        <v>126</v>
      </c>
      <c r="F44" s="7">
        <v>0.93</v>
      </c>
      <c r="G44" s="7">
        <v>0.93</v>
      </c>
      <c r="H44" s="7">
        <f>AVERAGE(96%,96%,95%)</f>
        <v>0.95666666666666667</v>
      </c>
      <c r="I44" s="7">
        <f>AVERAGE(94%,96%,95%)</f>
        <v>0.94999999999999984</v>
      </c>
      <c r="J44" s="24">
        <f t="shared" si="1"/>
        <v>-2.7874564459930307E-2</v>
      </c>
      <c r="K44" s="7">
        <f t="shared" si="0"/>
        <v>-2.1052631578947212E-2</v>
      </c>
      <c r="L44" s="20"/>
    </row>
    <row r="45" spans="1:12" ht="30" x14ac:dyDescent="0.25">
      <c r="A45" s="62"/>
      <c r="B45" s="65" t="s">
        <v>29</v>
      </c>
      <c r="C45" s="5" t="s">
        <v>12</v>
      </c>
      <c r="D45" s="2">
        <v>95</v>
      </c>
      <c r="E45" s="18" t="s">
        <v>116</v>
      </c>
      <c r="F45" s="7">
        <v>0.89</v>
      </c>
      <c r="G45" s="7">
        <v>0.88</v>
      </c>
      <c r="H45" s="7">
        <f>1-12%</f>
        <v>0.88</v>
      </c>
      <c r="I45" s="7">
        <f>1-10%</f>
        <v>0.9</v>
      </c>
      <c r="J45" s="24">
        <f t="shared" si="1"/>
        <v>1.1363636363636465E-2</v>
      </c>
      <c r="K45" s="7">
        <f t="shared" si="0"/>
        <v>-2.2222222222222254E-2</v>
      </c>
      <c r="L45" s="20"/>
    </row>
    <row r="46" spans="1:12" ht="30" x14ac:dyDescent="0.25">
      <c r="A46" s="62"/>
      <c r="B46" s="65"/>
      <c r="C46" s="5" t="s">
        <v>12</v>
      </c>
      <c r="D46" s="2">
        <v>96</v>
      </c>
      <c r="E46" s="18" t="s">
        <v>117</v>
      </c>
      <c r="F46" s="7">
        <v>0.85</v>
      </c>
      <c r="G46" s="7">
        <v>0.83</v>
      </c>
      <c r="H46" s="7">
        <f>1-20%</f>
        <v>0.8</v>
      </c>
      <c r="I46" s="7">
        <f>1-15%</f>
        <v>0.85</v>
      </c>
      <c r="J46" s="24">
        <f t="shared" si="1"/>
        <v>6.25E-2</v>
      </c>
      <c r="K46" s="7">
        <f t="shared" si="0"/>
        <v>-2.352941176470591E-2</v>
      </c>
      <c r="L46" s="20"/>
    </row>
    <row r="47" spans="1:12" x14ac:dyDescent="0.25">
      <c r="A47" s="62"/>
      <c r="B47" s="65"/>
      <c r="C47" s="5" t="s">
        <v>12</v>
      </c>
      <c r="D47" s="2">
        <v>97</v>
      </c>
      <c r="E47" s="18" t="s">
        <v>118</v>
      </c>
      <c r="F47" s="8">
        <v>0.61</v>
      </c>
      <c r="G47" s="7">
        <v>0.77</v>
      </c>
      <c r="H47" s="7">
        <v>0.8</v>
      </c>
      <c r="I47" s="7">
        <v>0.84</v>
      </c>
      <c r="J47" s="24">
        <f t="shared" si="1"/>
        <v>-0.23750000000000004</v>
      </c>
      <c r="K47" s="7">
        <f t="shared" si="0"/>
        <v>-8.3333333333333259E-2</v>
      </c>
      <c r="L47" s="20"/>
    </row>
    <row r="48" spans="1:12" x14ac:dyDescent="0.25">
      <c r="A48" s="62"/>
      <c r="B48" s="65"/>
      <c r="C48" s="5" t="s">
        <v>12</v>
      </c>
      <c r="D48" s="2">
        <v>98</v>
      </c>
      <c r="E48" s="18" t="s">
        <v>119</v>
      </c>
      <c r="F48" s="10">
        <v>0.86</v>
      </c>
      <c r="G48" s="7">
        <v>0.91</v>
      </c>
      <c r="H48" s="7">
        <v>0.89</v>
      </c>
      <c r="I48" s="7">
        <v>0.9</v>
      </c>
      <c r="J48" s="24">
        <f t="shared" si="1"/>
        <v>-3.3707865168539408E-2</v>
      </c>
      <c r="K48" s="7">
        <f t="shared" si="0"/>
        <v>1.1111111111111072E-2</v>
      </c>
      <c r="L48" s="20"/>
    </row>
    <row r="49" spans="1:12" ht="30" x14ac:dyDescent="0.25">
      <c r="A49" s="62"/>
      <c r="B49" s="65"/>
      <c r="C49" s="5" t="s">
        <v>12</v>
      </c>
      <c r="D49" s="2">
        <v>99</v>
      </c>
      <c r="E49" s="18" t="s">
        <v>120</v>
      </c>
      <c r="F49" s="7">
        <v>0.82</v>
      </c>
      <c r="G49" s="7">
        <v>0.86</v>
      </c>
      <c r="H49" s="7">
        <f>1-29%</f>
        <v>0.71</v>
      </c>
      <c r="I49" s="7">
        <f>1-11%</f>
        <v>0.89</v>
      </c>
      <c r="J49" s="24">
        <f t="shared" si="1"/>
        <v>0.15492957746478875</v>
      </c>
      <c r="K49" s="7">
        <f t="shared" si="0"/>
        <v>-3.3707865168539408E-2</v>
      </c>
      <c r="L49" s="20" t="str">
        <f t="shared" si="2"/>
        <v>Yes</v>
      </c>
    </row>
    <row r="50" spans="1:12" ht="30" x14ac:dyDescent="0.25">
      <c r="A50" s="62"/>
      <c r="B50" s="65"/>
      <c r="C50" s="5" t="s">
        <v>12</v>
      </c>
      <c r="D50" s="2">
        <v>100</v>
      </c>
      <c r="E50" s="18" t="s">
        <v>121</v>
      </c>
      <c r="F50" s="7">
        <v>0.92</v>
      </c>
      <c r="G50" s="7">
        <v>0.89</v>
      </c>
      <c r="H50" s="7">
        <v>0.95</v>
      </c>
      <c r="I50" s="7">
        <v>0.92</v>
      </c>
      <c r="J50" s="24">
        <f t="shared" si="1"/>
        <v>-3.1578947368420929E-2</v>
      </c>
      <c r="K50" s="7">
        <f t="shared" si="0"/>
        <v>-3.2608695652173947E-2</v>
      </c>
      <c r="L50" s="20"/>
    </row>
    <row r="51" spans="1:12" ht="30" x14ac:dyDescent="0.25">
      <c r="A51" s="62"/>
      <c r="B51" s="65" t="s">
        <v>30</v>
      </c>
      <c r="C51" s="2" t="s">
        <v>12</v>
      </c>
      <c r="D51" s="2">
        <v>103</v>
      </c>
      <c r="E51" s="18" t="s">
        <v>122</v>
      </c>
      <c r="F51" s="7">
        <v>0.82</v>
      </c>
      <c r="G51" s="7">
        <v>0.82</v>
      </c>
      <c r="H51" s="7">
        <v>0.86</v>
      </c>
      <c r="I51" s="7">
        <v>0.83</v>
      </c>
      <c r="J51" s="24">
        <f t="shared" si="1"/>
        <v>-4.6511627906976827E-2</v>
      </c>
      <c r="K51" s="7">
        <f t="shared" si="0"/>
        <v>-1.2048192771084376E-2</v>
      </c>
      <c r="L51" s="20"/>
    </row>
    <row r="52" spans="1:12" ht="30" x14ac:dyDescent="0.25">
      <c r="A52" s="62"/>
      <c r="B52" s="65"/>
      <c r="C52" s="2" t="s">
        <v>12</v>
      </c>
      <c r="D52" s="2">
        <v>104</v>
      </c>
      <c r="E52" s="18" t="s">
        <v>123</v>
      </c>
      <c r="F52" s="7">
        <v>0.78</v>
      </c>
      <c r="G52" s="7">
        <v>0.83</v>
      </c>
      <c r="H52" s="7">
        <v>0.83</v>
      </c>
      <c r="I52" s="7">
        <v>0.86</v>
      </c>
      <c r="J52" s="24">
        <f t="shared" si="1"/>
        <v>-6.0240963855421659E-2</v>
      </c>
      <c r="K52" s="7">
        <f t="shared" si="0"/>
        <v>-3.488372093023262E-2</v>
      </c>
      <c r="L52" s="20"/>
    </row>
    <row r="53" spans="1:12" ht="30" x14ac:dyDescent="0.25">
      <c r="A53" s="62"/>
      <c r="B53" s="65"/>
      <c r="C53" s="2" t="s">
        <v>12</v>
      </c>
      <c r="D53" s="2">
        <v>105</v>
      </c>
      <c r="E53" s="18" t="s">
        <v>124</v>
      </c>
      <c r="F53" s="7">
        <v>0.89</v>
      </c>
      <c r="G53" s="7">
        <v>0.86</v>
      </c>
      <c r="H53" s="7">
        <v>0.92</v>
      </c>
      <c r="I53" s="7">
        <v>0.89</v>
      </c>
      <c r="J53" s="24">
        <f t="shared" si="1"/>
        <v>-3.2608695652173947E-2</v>
      </c>
      <c r="K53" s="7">
        <f t="shared" si="0"/>
        <v>-3.3707865168539408E-2</v>
      </c>
      <c r="L53" s="20"/>
    </row>
    <row r="54" spans="1:12" ht="30" x14ac:dyDescent="0.25">
      <c r="A54" s="62"/>
      <c r="B54" s="65"/>
      <c r="C54" s="2" t="s">
        <v>12</v>
      </c>
      <c r="D54" s="2">
        <v>106</v>
      </c>
      <c r="E54" s="18" t="s">
        <v>125</v>
      </c>
      <c r="F54" s="7">
        <v>0.92</v>
      </c>
      <c r="G54" s="7">
        <v>0.93</v>
      </c>
      <c r="H54" s="7">
        <v>0.9</v>
      </c>
      <c r="I54" s="7">
        <v>0.91</v>
      </c>
      <c r="J54" s="24">
        <f t="shared" si="1"/>
        <v>2.2222222222222143E-2</v>
      </c>
      <c r="K54" s="7">
        <f t="shared" si="0"/>
        <v>2.19780219780219E-2</v>
      </c>
      <c r="L54" s="20"/>
    </row>
    <row r="55" spans="1:12" ht="45" x14ac:dyDescent="0.25">
      <c r="A55" s="62"/>
      <c r="B55" s="26" t="s">
        <v>31</v>
      </c>
      <c r="C55" s="2" t="s">
        <v>18</v>
      </c>
      <c r="D55" s="2">
        <v>53</v>
      </c>
      <c r="E55" s="9" t="s">
        <v>84</v>
      </c>
      <c r="F55" s="7">
        <v>0.51</v>
      </c>
      <c r="G55" s="7">
        <v>0.56999999999999995</v>
      </c>
      <c r="H55" s="7">
        <f>52.4%</f>
        <v>0.52400000000000002</v>
      </c>
      <c r="I55" s="7">
        <f>70%</f>
        <v>0.7</v>
      </c>
      <c r="J55" s="24">
        <f t="shared" si="1"/>
        <v>-2.6717557251908386E-2</v>
      </c>
      <c r="K55" s="7">
        <f t="shared" si="0"/>
        <v>-0.18571428571428572</v>
      </c>
      <c r="L55" s="20"/>
    </row>
    <row r="56" spans="1:12" ht="60" x14ac:dyDescent="0.25">
      <c r="A56" s="62"/>
      <c r="B56" s="26" t="s">
        <v>32</v>
      </c>
      <c r="C56" s="2" t="s">
        <v>18</v>
      </c>
      <c r="D56" s="2">
        <v>54</v>
      </c>
      <c r="E56" s="9" t="s">
        <v>32</v>
      </c>
      <c r="F56" s="7">
        <v>0.75</v>
      </c>
      <c r="G56" s="7">
        <v>0.81</v>
      </c>
      <c r="H56" s="7">
        <f>50%</f>
        <v>0.5</v>
      </c>
      <c r="I56" s="7">
        <v>0.65400000000000003</v>
      </c>
      <c r="J56" s="24">
        <f t="shared" si="1"/>
        <v>0.5</v>
      </c>
      <c r="K56" s="7">
        <f t="shared" si="0"/>
        <v>0.23853211009174324</v>
      </c>
      <c r="L56" s="20" t="str">
        <f t="shared" si="2"/>
        <v>Yes</v>
      </c>
    </row>
    <row r="57" spans="1:12" ht="30" x14ac:dyDescent="0.25">
      <c r="A57" s="62"/>
      <c r="B57" s="28" t="s">
        <v>33</v>
      </c>
      <c r="C57" s="2" t="s">
        <v>18</v>
      </c>
      <c r="D57" s="2">
        <v>55</v>
      </c>
      <c r="E57" s="9" t="s">
        <v>33</v>
      </c>
      <c r="F57" s="7">
        <v>0.79</v>
      </c>
      <c r="G57" s="7">
        <v>0.78</v>
      </c>
      <c r="H57" s="2" t="s">
        <v>72</v>
      </c>
      <c r="I57" s="2" t="s">
        <v>72</v>
      </c>
      <c r="J57" s="2" t="s">
        <v>72</v>
      </c>
      <c r="K57" s="2" t="s">
        <v>72</v>
      </c>
      <c r="L57" s="20"/>
    </row>
    <row r="58" spans="1:12" ht="60" x14ac:dyDescent="0.25">
      <c r="A58" s="63"/>
      <c r="B58" s="26" t="s">
        <v>34</v>
      </c>
      <c r="C58" s="2" t="s">
        <v>18</v>
      </c>
      <c r="D58" s="2">
        <v>56</v>
      </c>
      <c r="E58" s="9" t="s">
        <v>85</v>
      </c>
      <c r="F58" s="7">
        <v>0.31</v>
      </c>
      <c r="G58" s="7">
        <v>0.4</v>
      </c>
      <c r="H58" s="2" t="s">
        <v>72</v>
      </c>
      <c r="I58" s="2" t="s">
        <v>72</v>
      </c>
      <c r="J58" s="2" t="s">
        <v>72</v>
      </c>
      <c r="K58" s="2" t="s">
        <v>72</v>
      </c>
      <c r="L58" s="20"/>
    </row>
    <row r="59" spans="1:12" ht="45" x14ac:dyDescent="0.25">
      <c r="A59" s="61" t="s">
        <v>9</v>
      </c>
      <c r="B59" s="64" t="s">
        <v>35</v>
      </c>
      <c r="C59" s="5" t="s">
        <v>12</v>
      </c>
      <c r="D59" s="2">
        <v>19</v>
      </c>
      <c r="E59" s="18" t="s">
        <v>106</v>
      </c>
      <c r="F59" s="7">
        <v>0.44</v>
      </c>
      <c r="G59" s="7">
        <v>0.49</v>
      </c>
      <c r="H59" s="7">
        <v>0.47</v>
      </c>
      <c r="I59" s="7">
        <v>0.43</v>
      </c>
      <c r="J59" s="24">
        <f t="shared" si="1"/>
        <v>-6.3829787234042534E-2</v>
      </c>
      <c r="K59" s="7">
        <f t="shared" si="0"/>
        <v>0.13953488372093026</v>
      </c>
      <c r="L59" s="20"/>
    </row>
    <row r="60" spans="1:12" ht="45" x14ac:dyDescent="0.25">
      <c r="A60" s="62"/>
      <c r="B60" s="64"/>
      <c r="C60" s="5" t="s">
        <v>12</v>
      </c>
      <c r="D60" s="2">
        <v>20</v>
      </c>
      <c r="E60" s="18" t="s">
        <v>109</v>
      </c>
      <c r="F60" s="7">
        <v>0.44</v>
      </c>
      <c r="G60" s="7">
        <v>0.43</v>
      </c>
      <c r="H60" s="7">
        <v>0.49</v>
      </c>
      <c r="I60" s="7">
        <v>0.39</v>
      </c>
      <c r="J60" s="24">
        <f t="shared" si="1"/>
        <v>-0.10204081632653061</v>
      </c>
      <c r="K60" s="7">
        <f t="shared" si="0"/>
        <v>0.10256410256410242</v>
      </c>
      <c r="L60" s="20"/>
    </row>
    <row r="61" spans="1:12" ht="30" x14ac:dyDescent="0.25">
      <c r="A61" s="62"/>
      <c r="B61" s="64"/>
      <c r="C61" s="5" t="s">
        <v>12</v>
      </c>
      <c r="D61" s="2">
        <v>21</v>
      </c>
      <c r="E61" s="18" t="s">
        <v>107</v>
      </c>
      <c r="F61" s="7" t="s">
        <v>72</v>
      </c>
      <c r="G61" s="7">
        <v>0.81</v>
      </c>
      <c r="H61" s="7">
        <v>0.76</v>
      </c>
      <c r="I61" s="7">
        <v>0.82</v>
      </c>
      <c r="J61" s="2" t="s">
        <v>72</v>
      </c>
      <c r="K61" s="2" t="s">
        <v>72</v>
      </c>
      <c r="L61" s="20"/>
    </row>
    <row r="62" spans="1:12" ht="30" x14ac:dyDescent="0.25">
      <c r="A62" s="62"/>
      <c r="B62" s="64"/>
      <c r="C62" s="5" t="s">
        <v>12</v>
      </c>
      <c r="D62" s="2">
        <v>22</v>
      </c>
      <c r="E62" s="18" t="s">
        <v>108</v>
      </c>
      <c r="F62" s="7">
        <v>0.56000000000000005</v>
      </c>
      <c r="G62" s="7">
        <v>0.57999999999999996</v>
      </c>
      <c r="H62" s="7">
        <v>0.65</v>
      </c>
      <c r="I62" s="7">
        <v>0.63</v>
      </c>
      <c r="J62" s="24">
        <f t="shared" si="1"/>
        <v>-0.13846153846153841</v>
      </c>
      <c r="K62" s="7">
        <f t="shared" si="0"/>
        <v>-7.9365079365079416E-2</v>
      </c>
      <c r="L62" s="20"/>
    </row>
    <row r="63" spans="1:12" ht="60" x14ac:dyDescent="0.25">
      <c r="A63" s="62"/>
      <c r="B63" s="64"/>
      <c r="C63" s="5" t="s">
        <v>12</v>
      </c>
      <c r="D63" s="2">
        <v>23</v>
      </c>
      <c r="E63" s="18" t="s">
        <v>110</v>
      </c>
      <c r="F63" s="7">
        <v>0.61</v>
      </c>
      <c r="G63" s="7">
        <v>0.64</v>
      </c>
      <c r="H63" s="7">
        <f>AVERAGE(64%,55%,59%)</f>
        <v>0.59333333333333327</v>
      </c>
      <c r="I63" s="7">
        <f>AVERAGE(63%,63%,60%)</f>
        <v>0.62</v>
      </c>
      <c r="J63" s="24">
        <f t="shared" si="1"/>
        <v>2.8089887640449618E-2</v>
      </c>
      <c r="K63" s="7">
        <f t="shared" si="0"/>
        <v>3.2258064516129004E-2</v>
      </c>
      <c r="L63" s="20"/>
    </row>
    <row r="64" spans="1:12" ht="30" x14ac:dyDescent="0.25">
      <c r="A64" s="62"/>
      <c r="B64" s="64"/>
      <c r="C64" s="5" t="s">
        <v>12</v>
      </c>
      <c r="D64" s="2">
        <v>24</v>
      </c>
      <c r="E64" s="18" t="s">
        <v>111</v>
      </c>
      <c r="F64" s="7">
        <v>0.71</v>
      </c>
      <c r="G64" s="7">
        <v>0.81</v>
      </c>
      <c r="H64" s="7">
        <v>0.65</v>
      </c>
      <c r="I64" s="7">
        <v>0.82</v>
      </c>
      <c r="J64" s="24">
        <f t="shared" si="1"/>
        <v>9.2307692307692202E-2</v>
      </c>
      <c r="K64" s="7">
        <f t="shared" si="0"/>
        <v>-1.2195121951219412E-2</v>
      </c>
      <c r="L64" s="20" t="str">
        <f t="shared" si="2"/>
        <v>Yes</v>
      </c>
    </row>
    <row r="65" spans="1:12" ht="30" x14ac:dyDescent="0.25">
      <c r="A65" s="62"/>
      <c r="B65" s="64"/>
      <c r="C65" s="5" t="s">
        <v>12</v>
      </c>
      <c r="D65" s="2">
        <v>25</v>
      </c>
      <c r="E65" s="18" t="s">
        <v>112</v>
      </c>
      <c r="F65" s="7">
        <v>0.77</v>
      </c>
      <c r="G65" s="7">
        <v>0.89</v>
      </c>
      <c r="H65" s="7">
        <v>0.72</v>
      </c>
      <c r="I65" s="7">
        <v>0.9</v>
      </c>
      <c r="J65" s="24">
        <f t="shared" si="1"/>
        <v>6.944444444444442E-2</v>
      </c>
      <c r="K65" s="7">
        <f t="shared" si="0"/>
        <v>-1.1111111111111072E-2</v>
      </c>
      <c r="L65" s="20"/>
    </row>
    <row r="66" spans="1:12" ht="30" x14ac:dyDescent="0.25">
      <c r="A66" s="62"/>
      <c r="B66" s="64"/>
      <c r="C66" s="5" t="s">
        <v>12</v>
      </c>
      <c r="D66" s="2">
        <v>26</v>
      </c>
      <c r="E66" s="18" t="s">
        <v>105</v>
      </c>
      <c r="F66" s="7">
        <v>0.85</v>
      </c>
      <c r="G66" s="7">
        <v>0.86</v>
      </c>
      <c r="H66" s="7">
        <v>0.79</v>
      </c>
      <c r="I66" s="7">
        <v>0.88</v>
      </c>
      <c r="J66" s="24">
        <f t="shared" si="1"/>
        <v>7.5949367088607556E-2</v>
      </c>
      <c r="K66" s="7">
        <f t="shared" si="0"/>
        <v>-2.2727272727272707E-2</v>
      </c>
      <c r="L66" s="20"/>
    </row>
    <row r="67" spans="1:12" ht="45" x14ac:dyDescent="0.25">
      <c r="A67" s="62"/>
      <c r="B67" s="64" t="s">
        <v>36</v>
      </c>
      <c r="C67" s="5" t="s">
        <v>18</v>
      </c>
      <c r="D67" s="2">
        <v>38</v>
      </c>
      <c r="E67" s="18" t="s">
        <v>86</v>
      </c>
      <c r="F67" s="7">
        <f>39%+18%</f>
        <v>0.57000000000000006</v>
      </c>
      <c r="G67" s="7">
        <f>45%+15%</f>
        <v>0.6</v>
      </c>
      <c r="H67" s="66">
        <f>26.7%+17.2%</f>
        <v>0.439</v>
      </c>
      <c r="I67" s="67">
        <f>43.9%+17.9%</f>
        <v>0.61799999999999999</v>
      </c>
      <c r="J67" s="24"/>
      <c r="K67" s="7"/>
      <c r="L67" s="20"/>
    </row>
    <row r="68" spans="1:12" ht="45" x14ac:dyDescent="0.25">
      <c r="A68" s="62"/>
      <c r="B68" s="64"/>
      <c r="C68" s="5" t="s">
        <v>18</v>
      </c>
      <c r="D68" s="2">
        <v>39</v>
      </c>
      <c r="E68" s="18" t="s">
        <v>87</v>
      </c>
      <c r="F68" s="7">
        <f>30%+14%</f>
        <v>0.44</v>
      </c>
      <c r="G68" s="7">
        <f>31%+12%</f>
        <v>0.43</v>
      </c>
      <c r="H68" s="66"/>
      <c r="I68" s="67"/>
      <c r="J68" s="24"/>
      <c r="K68" s="7"/>
      <c r="L68" s="20"/>
    </row>
    <row r="69" spans="1:12" ht="45" x14ac:dyDescent="0.25">
      <c r="A69" s="63"/>
      <c r="B69" s="26" t="s">
        <v>37</v>
      </c>
      <c r="C69" s="5" t="s">
        <v>18</v>
      </c>
      <c r="D69" s="2">
        <v>40</v>
      </c>
      <c r="E69" s="9" t="s">
        <v>88</v>
      </c>
      <c r="F69" s="7">
        <f>61%+26%</f>
        <v>0.87</v>
      </c>
      <c r="G69" s="7">
        <f>62%+21%</f>
        <v>0.83</v>
      </c>
      <c r="H69" s="2" t="s">
        <v>72</v>
      </c>
      <c r="I69" s="2" t="s">
        <v>72</v>
      </c>
      <c r="J69" s="2" t="s">
        <v>72</v>
      </c>
      <c r="K69" s="2" t="s">
        <v>72</v>
      </c>
      <c r="L69" s="20"/>
    </row>
    <row r="70" spans="1:12" ht="19.5" customHeight="1" x14ac:dyDescent="0.25">
      <c r="A70" s="61" t="s">
        <v>10</v>
      </c>
      <c r="B70" s="28" t="s">
        <v>38</v>
      </c>
      <c r="C70" s="5" t="s">
        <v>12</v>
      </c>
      <c r="D70" s="2">
        <v>64</v>
      </c>
      <c r="E70" s="9" t="s">
        <v>113</v>
      </c>
      <c r="F70" s="7">
        <v>0.36</v>
      </c>
      <c r="G70" s="7">
        <v>0.26</v>
      </c>
      <c r="H70" s="7">
        <v>0.3</v>
      </c>
      <c r="I70" s="7">
        <v>0.27</v>
      </c>
      <c r="J70" s="24">
        <f t="shared" si="1"/>
        <v>0.19999999999999996</v>
      </c>
      <c r="K70" s="7">
        <f t="shared" si="0"/>
        <v>-3.703703703703709E-2</v>
      </c>
      <c r="L70" s="20"/>
    </row>
    <row r="71" spans="1:12" ht="45" x14ac:dyDescent="0.25">
      <c r="A71" s="62"/>
      <c r="B71" s="26" t="s">
        <v>39</v>
      </c>
      <c r="C71" s="5" t="s">
        <v>12</v>
      </c>
      <c r="D71" s="2">
        <v>69</v>
      </c>
      <c r="E71" s="9" t="s">
        <v>114</v>
      </c>
      <c r="F71" s="7">
        <v>0.38</v>
      </c>
      <c r="G71" s="7">
        <v>0.34</v>
      </c>
      <c r="H71" s="7">
        <v>0.41</v>
      </c>
      <c r="I71" s="7">
        <v>0.34</v>
      </c>
      <c r="J71" s="24">
        <f t="shared" si="1"/>
        <v>-7.3170731707317027E-2</v>
      </c>
      <c r="K71" s="7">
        <f t="shared" ref="K71:K80" si="3">G71/I71-1</f>
        <v>0</v>
      </c>
      <c r="L71" s="20"/>
    </row>
    <row r="72" spans="1:12" ht="45" x14ac:dyDescent="0.25">
      <c r="A72" s="62"/>
      <c r="B72" s="26" t="s">
        <v>40</v>
      </c>
      <c r="C72" s="5" t="s">
        <v>12</v>
      </c>
      <c r="D72" s="2">
        <v>29</v>
      </c>
      <c r="E72" s="9" t="s">
        <v>115</v>
      </c>
      <c r="F72" s="8">
        <v>0.46</v>
      </c>
      <c r="G72" s="7">
        <v>0.63</v>
      </c>
      <c r="H72" s="8">
        <v>0.47</v>
      </c>
      <c r="I72" s="7">
        <v>0.57999999999999996</v>
      </c>
      <c r="J72" s="24">
        <f t="shared" ref="J72:J80" si="4">F72/H72-1</f>
        <v>-2.1276595744680771E-2</v>
      </c>
      <c r="K72" s="7">
        <f t="shared" si="3"/>
        <v>8.6206896551724199E-2</v>
      </c>
      <c r="L72" s="20"/>
    </row>
    <row r="73" spans="1:12" ht="60" x14ac:dyDescent="0.25">
      <c r="A73" s="62"/>
      <c r="B73" s="26" t="s">
        <v>41</v>
      </c>
      <c r="C73" s="5" t="s">
        <v>12</v>
      </c>
      <c r="D73" s="2">
        <v>23</v>
      </c>
      <c r="E73" s="9" t="s">
        <v>110</v>
      </c>
      <c r="F73" s="7">
        <v>0.61</v>
      </c>
      <c r="G73" s="7">
        <v>0.64</v>
      </c>
      <c r="H73" s="7">
        <f>AVERAGE(64%,55%,59%)</f>
        <v>0.59333333333333327</v>
      </c>
      <c r="I73" s="7">
        <f>AVERAGE(63%,63%,60%)</f>
        <v>0.62</v>
      </c>
      <c r="J73" s="24">
        <f t="shared" si="4"/>
        <v>2.8089887640449618E-2</v>
      </c>
      <c r="K73" s="7">
        <f t="shared" si="3"/>
        <v>3.2258064516129004E-2</v>
      </c>
      <c r="L73" s="20"/>
    </row>
    <row r="74" spans="1:12" ht="60" x14ac:dyDescent="0.25">
      <c r="A74" s="62"/>
      <c r="B74" s="27" t="s">
        <v>42</v>
      </c>
      <c r="C74" s="5" t="s">
        <v>12</v>
      </c>
      <c r="D74" s="2">
        <v>23</v>
      </c>
      <c r="E74" s="9" t="s">
        <v>110</v>
      </c>
      <c r="F74" s="7">
        <v>0.61</v>
      </c>
      <c r="G74" s="7">
        <v>0.64</v>
      </c>
      <c r="H74" s="7">
        <f>AVERAGE(64%,55%,59%)</f>
        <v>0.59333333333333327</v>
      </c>
      <c r="I74" s="7">
        <f>AVERAGE(63%,63%,60%)</f>
        <v>0.62</v>
      </c>
      <c r="J74" s="24">
        <f t="shared" si="4"/>
        <v>2.8089887640449618E-2</v>
      </c>
      <c r="K74" s="7">
        <f t="shared" si="3"/>
        <v>3.2258064516129004E-2</v>
      </c>
      <c r="L74" s="20"/>
    </row>
    <row r="75" spans="1:12" ht="45" x14ac:dyDescent="0.25">
      <c r="A75" s="62"/>
      <c r="B75" s="27" t="s">
        <v>43</v>
      </c>
      <c r="C75" s="5" t="s">
        <v>18</v>
      </c>
      <c r="D75" s="2">
        <v>36</v>
      </c>
      <c r="E75" s="9" t="s">
        <v>82</v>
      </c>
      <c r="F75" s="7">
        <f>35%+13%</f>
        <v>0.48</v>
      </c>
      <c r="G75" s="7">
        <f>36%+14%</f>
        <v>0.5</v>
      </c>
      <c r="H75" s="8">
        <f>31.9%+18.1%</f>
        <v>0.5</v>
      </c>
      <c r="I75" s="7">
        <f>59.6%+15.9%</f>
        <v>0.755</v>
      </c>
      <c r="J75" s="24">
        <f t="shared" si="4"/>
        <v>-4.0000000000000036E-2</v>
      </c>
      <c r="K75" s="7">
        <f t="shared" si="3"/>
        <v>-0.33774834437086088</v>
      </c>
      <c r="L75" s="20"/>
    </row>
    <row r="76" spans="1:12" ht="30" x14ac:dyDescent="0.25">
      <c r="A76" s="62"/>
      <c r="B76" s="27" t="s">
        <v>44</v>
      </c>
      <c r="C76" s="5" t="s">
        <v>18</v>
      </c>
      <c r="D76" s="2">
        <v>37</v>
      </c>
      <c r="E76" s="9" t="s">
        <v>83</v>
      </c>
      <c r="F76" s="7">
        <f>64%+25%</f>
        <v>0.89</v>
      </c>
      <c r="G76" s="7">
        <f>66%+22%</f>
        <v>0.88</v>
      </c>
      <c r="H76" s="2" t="s">
        <v>72</v>
      </c>
      <c r="I76" s="2" t="s">
        <v>72</v>
      </c>
      <c r="J76" s="2" t="s">
        <v>72</v>
      </c>
      <c r="K76" s="2" t="s">
        <v>72</v>
      </c>
      <c r="L76" s="20"/>
    </row>
    <row r="77" spans="1:12" ht="45" x14ac:dyDescent="0.25">
      <c r="A77" s="62"/>
      <c r="B77" s="27" t="s">
        <v>45</v>
      </c>
      <c r="C77" s="5" t="s">
        <v>18</v>
      </c>
      <c r="D77" s="2">
        <v>39</v>
      </c>
      <c r="E77" s="18" t="s">
        <v>87</v>
      </c>
      <c r="F77" s="7">
        <f>30%+14%</f>
        <v>0.44</v>
      </c>
      <c r="G77" s="7">
        <f>31%+12%</f>
        <v>0.43</v>
      </c>
      <c r="H77" s="8">
        <f>26.7%+17.2%</f>
        <v>0.439</v>
      </c>
      <c r="I77" s="7">
        <f>43.9%+17.9%</f>
        <v>0.61799999999999999</v>
      </c>
      <c r="J77" s="24">
        <f t="shared" si="4"/>
        <v>2.277904328018332E-3</v>
      </c>
      <c r="K77" s="7">
        <f t="shared" si="3"/>
        <v>-0.30420711974110037</v>
      </c>
      <c r="L77" s="20"/>
    </row>
    <row r="78" spans="1:12" ht="30" x14ac:dyDescent="0.25">
      <c r="A78" s="62"/>
      <c r="B78" s="27" t="s">
        <v>46</v>
      </c>
      <c r="C78" s="5" t="s">
        <v>18</v>
      </c>
      <c r="D78" s="2">
        <v>40</v>
      </c>
      <c r="E78" s="9" t="s">
        <v>88</v>
      </c>
      <c r="F78" s="7">
        <f>61%+26%</f>
        <v>0.87</v>
      </c>
      <c r="G78" s="7">
        <f>62%+21%</f>
        <v>0.83</v>
      </c>
      <c r="H78" s="2" t="s">
        <v>72</v>
      </c>
      <c r="I78" s="2" t="s">
        <v>72</v>
      </c>
      <c r="J78" s="2" t="s">
        <v>72</v>
      </c>
      <c r="K78" s="2" t="s">
        <v>72</v>
      </c>
      <c r="L78" s="20"/>
    </row>
    <row r="79" spans="1:12" ht="45" x14ac:dyDescent="0.25">
      <c r="A79" s="62"/>
      <c r="B79" s="27" t="s">
        <v>47</v>
      </c>
      <c r="C79" s="5" t="s">
        <v>18</v>
      </c>
      <c r="D79" s="2">
        <v>42</v>
      </c>
      <c r="E79" s="9" t="s">
        <v>89</v>
      </c>
      <c r="F79" s="7">
        <v>0.15</v>
      </c>
      <c r="G79" s="7">
        <v>0.16</v>
      </c>
      <c r="H79" s="8">
        <f>20.4%+2.9%</f>
        <v>0.23299999999999998</v>
      </c>
      <c r="I79" s="7">
        <f>32.9%+6.4%</f>
        <v>0.39299999999999996</v>
      </c>
      <c r="J79" s="24">
        <f t="shared" si="4"/>
        <v>-0.35622317596566522</v>
      </c>
      <c r="K79" s="7">
        <f t="shared" si="3"/>
        <v>-0.59287531806615767</v>
      </c>
      <c r="L79" s="20"/>
    </row>
    <row r="80" spans="1:12" ht="60" x14ac:dyDescent="0.25">
      <c r="A80" s="63"/>
      <c r="B80" s="27" t="s">
        <v>48</v>
      </c>
      <c r="C80" s="5" t="s">
        <v>18</v>
      </c>
      <c r="D80" s="2">
        <v>44</v>
      </c>
      <c r="E80" s="9" t="s">
        <v>90</v>
      </c>
      <c r="F80" s="7">
        <v>0.34</v>
      </c>
      <c r="G80" s="7">
        <v>0.35</v>
      </c>
      <c r="H80" s="7">
        <v>0.34100000000000003</v>
      </c>
      <c r="I80" s="7">
        <v>0.435</v>
      </c>
      <c r="J80" s="24">
        <f t="shared" si="4"/>
        <v>-2.9325513196480912E-3</v>
      </c>
      <c r="K80" s="7">
        <f t="shared" si="3"/>
        <v>-0.19540229885057481</v>
      </c>
      <c r="L80" s="20"/>
    </row>
  </sheetData>
  <mergeCells count="33">
    <mergeCell ref="J4:J5"/>
    <mergeCell ref="L4:L5"/>
    <mergeCell ref="K4:K5"/>
    <mergeCell ref="A1:L1"/>
    <mergeCell ref="A2:L2"/>
    <mergeCell ref="H4:I4"/>
    <mergeCell ref="H67:H68"/>
    <mergeCell ref="I67:I68"/>
    <mergeCell ref="A4:A5"/>
    <mergeCell ref="B4:B5"/>
    <mergeCell ref="C4:C5"/>
    <mergeCell ref="D4:D5"/>
    <mergeCell ref="E4:E5"/>
    <mergeCell ref="B67:B68"/>
    <mergeCell ref="A59:A69"/>
    <mergeCell ref="B7:B12"/>
    <mergeCell ref="B13:B14"/>
    <mergeCell ref="A6:A18"/>
    <mergeCell ref="F4:G4"/>
    <mergeCell ref="A70:A80"/>
    <mergeCell ref="B36:B38"/>
    <mergeCell ref="B26:B27"/>
    <mergeCell ref="A44:A58"/>
    <mergeCell ref="B59:B66"/>
    <mergeCell ref="B39:B40"/>
    <mergeCell ref="B42:B43"/>
    <mergeCell ref="A42:A43"/>
    <mergeCell ref="B28:B33"/>
    <mergeCell ref="A28:A35"/>
    <mergeCell ref="A36:A41"/>
    <mergeCell ref="B45:B50"/>
    <mergeCell ref="B51:B54"/>
    <mergeCell ref="A19:A27"/>
  </mergeCells>
  <pageMargins left="0.45" right="0.45" top="0.75" bottom="0.75" header="0.3" footer="0.3"/>
  <pageSetup scale="66" fitToHeight="0"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
  <sheetViews>
    <sheetView workbookViewId="0">
      <selection activeCell="E16" sqref="E16"/>
    </sheetView>
  </sheetViews>
  <sheetFormatPr defaultRowHeight="15" x14ac:dyDescent="0.25"/>
  <cols>
    <col min="1" max="1" width="27.5703125" customWidth="1"/>
    <col min="2" max="2" width="39.42578125" customWidth="1"/>
    <col min="3" max="3" width="9.5703125" customWidth="1"/>
    <col min="4" max="4" width="5.140625" customWidth="1"/>
    <col min="5" max="5" width="34.28515625" customWidth="1"/>
    <col min="6" max="6" width="10" customWidth="1"/>
    <col min="7" max="7" width="11.28515625" customWidth="1"/>
    <col min="8" max="8" width="10" customWidth="1"/>
    <col min="9" max="9" width="11.28515625" customWidth="1"/>
    <col min="10" max="10" width="8.7109375" customWidth="1"/>
    <col min="11" max="11" width="12.28515625" customWidth="1"/>
    <col min="12" max="12" width="15.140625" customWidth="1"/>
  </cols>
  <sheetData>
    <row r="1" spans="1:12" ht="18.75" x14ac:dyDescent="0.25">
      <c r="A1" s="74" t="s">
        <v>0</v>
      </c>
      <c r="B1" s="74"/>
      <c r="C1" s="74"/>
      <c r="D1" s="74"/>
      <c r="E1" s="74"/>
      <c r="F1" s="74"/>
      <c r="G1" s="74"/>
      <c r="H1" s="74"/>
      <c r="I1" s="74"/>
      <c r="J1" s="74"/>
      <c r="K1" s="74"/>
      <c r="L1" s="74"/>
    </row>
    <row r="2" spans="1:12" x14ac:dyDescent="0.25">
      <c r="A2" s="78" t="s">
        <v>52</v>
      </c>
      <c r="B2" s="78"/>
      <c r="C2" s="78"/>
      <c r="D2" s="78"/>
      <c r="E2" s="78"/>
      <c r="F2" s="78"/>
      <c r="G2" s="78"/>
      <c r="H2" s="78"/>
      <c r="I2" s="78"/>
      <c r="J2" s="78"/>
      <c r="K2" s="78"/>
      <c r="L2" s="78"/>
    </row>
    <row r="3" spans="1:12" ht="6" customHeight="1" x14ac:dyDescent="0.25">
      <c r="D3" s="1"/>
      <c r="E3" s="1"/>
      <c r="F3" s="1"/>
      <c r="G3" s="1"/>
    </row>
    <row r="4" spans="1:12" ht="33.75" customHeight="1" x14ac:dyDescent="0.25">
      <c r="A4" s="68" t="s">
        <v>1</v>
      </c>
      <c r="B4" s="68" t="s">
        <v>49</v>
      </c>
      <c r="C4" s="79" t="s">
        <v>11</v>
      </c>
      <c r="D4" s="68" t="s">
        <v>14</v>
      </c>
      <c r="E4" s="70" t="s">
        <v>130</v>
      </c>
      <c r="F4" s="76" t="s">
        <v>79</v>
      </c>
      <c r="G4" s="76"/>
      <c r="H4" s="76" t="s">
        <v>80</v>
      </c>
      <c r="I4" s="76"/>
      <c r="J4" s="68" t="s">
        <v>127</v>
      </c>
      <c r="K4" s="69" t="s">
        <v>129</v>
      </c>
      <c r="L4" s="69" t="s">
        <v>128</v>
      </c>
    </row>
    <row r="5" spans="1:12" ht="25.5" customHeight="1" x14ac:dyDescent="0.25">
      <c r="A5" s="68"/>
      <c r="B5" s="68"/>
      <c r="C5" s="80"/>
      <c r="D5" s="68"/>
      <c r="E5" s="71"/>
      <c r="F5" s="6" t="s">
        <v>50</v>
      </c>
      <c r="G5" s="6" t="s">
        <v>51</v>
      </c>
      <c r="H5" s="22" t="s">
        <v>50</v>
      </c>
      <c r="I5" s="22" t="s">
        <v>51</v>
      </c>
      <c r="J5" s="68"/>
      <c r="K5" s="69"/>
      <c r="L5" s="69"/>
    </row>
    <row r="6" spans="1:12" ht="30" x14ac:dyDescent="0.25">
      <c r="A6" s="77" t="s">
        <v>53</v>
      </c>
      <c r="B6" s="3" t="s">
        <v>54</v>
      </c>
      <c r="C6" s="2" t="s">
        <v>12</v>
      </c>
      <c r="D6" s="2">
        <v>95</v>
      </c>
      <c r="E6" s="18" t="s">
        <v>116</v>
      </c>
      <c r="F6" s="7">
        <v>0.89</v>
      </c>
      <c r="G6" s="7">
        <v>0.89</v>
      </c>
      <c r="H6" s="17">
        <f>1-12%</f>
        <v>0.88</v>
      </c>
      <c r="I6" s="17">
        <f>1-10%</f>
        <v>0.9</v>
      </c>
      <c r="J6" s="24">
        <f t="shared" ref="J6:K12" si="0">F6/H6-1</f>
        <v>1.1363636363636465E-2</v>
      </c>
      <c r="K6" s="17">
        <f t="shared" si="0"/>
        <v>-1.1111111111111072E-2</v>
      </c>
      <c r="L6" s="20"/>
    </row>
    <row r="7" spans="1:12" ht="30" x14ac:dyDescent="0.25">
      <c r="A7" s="77"/>
      <c r="B7" s="3" t="s">
        <v>55</v>
      </c>
      <c r="C7" s="2" t="s">
        <v>12</v>
      </c>
      <c r="D7" s="2">
        <v>96</v>
      </c>
      <c r="E7" s="18" t="s">
        <v>117</v>
      </c>
      <c r="F7" s="7">
        <v>0.85</v>
      </c>
      <c r="G7" s="7">
        <v>0.83</v>
      </c>
      <c r="H7" s="17">
        <f>1-20%</f>
        <v>0.8</v>
      </c>
      <c r="I7" s="17">
        <f>1-15%</f>
        <v>0.85</v>
      </c>
      <c r="J7" s="24">
        <f t="shared" si="0"/>
        <v>6.25E-2</v>
      </c>
      <c r="K7" s="17">
        <f t="shared" si="0"/>
        <v>-2.352941176470591E-2</v>
      </c>
      <c r="L7" s="20"/>
    </row>
    <row r="8" spans="1:12" x14ac:dyDescent="0.25">
      <c r="A8" s="77"/>
      <c r="B8" s="3" t="s">
        <v>56</v>
      </c>
      <c r="C8" s="2" t="s">
        <v>12</v>
      </c>
      <c r="D8" s="2">
        <v>98</v>
      </c>
      <c r="E8" s="18" t="s">
        <v>119</v>
      </c>
      <c r="F8" s="7">
        <v>0.86</v>
      </c>
      <c r="G8" s="7">
        <v>0.91</v>
      </c>
      <c r="H8" s="17">
        <v>0.89</v>
      </c>
      <c r="I8" s="17">
        <v>0.9</v>
      </c>
      <c r="J8" s="24">
        <f t="shared" si="0"/>
        <v>-3.3707865168539408E-2</v>
      </c>
      <c r="K8" s="17">
        <f t="shared" si="0"/>
        <v>1.1111111111111072E-2</v>
      </c>
      <c r="L8" s="20"/>
    </row>
    <row r="9" spans="1:12" ht="45" x14ac:dyDescent="0.25">
      <c r="A9" s="3" t="s">
        <v>57</v>
      </c>
      <c r="B9" s="4" t="s">
        <v>58</v>
      </c>
      <c r="C9" s="2" t="s">
        <v>12</v>
      </c>
      <c r="D9" s="2">
        <v>20</v>
      </c>
      <c r="E9" s="18" t="s">
        <v>109</v>
      </c>
      <c r="F9" s="7">
        <v>0.44</v>
      </c>
      <c r="G9" s="7">
        <v>0.43</v>
      </c>
      <c r="H9" s="17">
        <v>0.49</v>
      </c>
      <c r="I9" s="17">
        <v>0.39</v>
      </c>
      <c r="J9" s="24">
        <f t="shared" si="0"/>
        <v>-0.10204081632653061</v>
      </c>
      <c r="K9" s="17">
        <f t="shared" si="0"/>
        <v>0.10256410256410242</v>
      </c>
      <c r="L9" s="20"/>
    </row>
    <row r="10" spans="1:12" ht="30" x14ac:dyDescent="0.25">
      <c r="A10" s="77" t="s">
        <v>59</v>
      </c>
      <c r="B10" s="3" t="s">
        <v>60</v>
      </c>
      <c r="C10" s="2" t="s">
        <v>12</v>
      </c>
      <c r="D10" s="2">
        <v>24</v>
      </c>
      <c r="E10" s="18" t="s">
        <v>111</v>
      </c>
      <c r="F10" s="7">
        <v>0.71</v>
      </c>
      <c r="G10" s="7">
        <v>0.81</v>
      </c>
      <c r="H10" s="17">
        <v>0.65</v>
      </c>
      <c r="I10" s="17">
        <v>0.82</v>
      </c>
      <c r="J10" s="24">
        <f t="shared" si="0"/>
        <v>9.2307692307692202E-2</v>
      </c>
      <c r="K10" s="17">
        <f t="shared" si="0"/>
        <v>-1.2195121951219412E-2</v>
      </c>
      <c r="L10" s="20" t="str">
        <f t="shared" ref="L10" si="1">IF(J10&gt;(G10/I10-1+0.1),"Yes","No")</f>
        <v>Yes</v>
      </c>
    </row>
    <row r="11" spans="1:12" ht="30" x14ac:dyDescent="0.25">
      <c r="A11" s="77"/>
      <c r="B11" s="3" t="s">
        <v>61</v>
      </c>
      <c r="C11" s="2" t="s">
        <v>12</v>
      </c>
      <c r="D11" s="2">
        <v>25</v>
      </c>
      <c r="E11" s="18" t="s">
        <v>112</v>
      </c>
      <c r="F11" s="7">
        <v>0.77</v>
      </c>
      <c r="G11" s="7">
        <v>0.89</v>
      </c>
      <c r="H11" s="17">
        <v>0.72</v>
      </c>
      <c r="I11" s="17">
        <v>0.9</v>
      </c>
      <c r="J11" s="24">
        <f t="shared" si="0"/>
        <v>6.944444444444442E-2</v>
      </c>
      <c r="K11" s="17">
        <f t="shared" si="0"/>
        <v>-1.1111111111111072E-2</v>
      </c>
      <c r="L11" s="20"/>
    </row>
    <row r="12" spans="1:12" ht="30" x14ac:dyDescent="0.25">
      <c r="A12" s="3" t="s">
        <v>62</v>
      </c>
      <c r="B12" s="4" t="s">
        <v>63</v>
      </c>
      <c r="C12" s="2" t="s">
        <v>12</v>
      </c>
      <c r="D12" s="2">
        <v>97</v>
      </c>
      <c r="E12" s="18" t="s">
        <v>118</v>
      </c>
      <c r="F12" s="8">
        <v>0.61</v>
      </c>
      <c r="G12" s="7">
        <v>0.77</v>
      </c>
      <c r="H12" s="17">
        <v>0.8</v>
      </c>
      <c r="I12" s="17">
        <v>0.84</v>
      </c>
      <c r="J12" s="24">
        <f t="shared" si="0"/>
        <v>-0.23750000000000004</v>
      </c>
      <c r="K12" s="17">
        <f t="shared" si="0"/>
        <v>-8.3333333333333259E-2</v>
      </c>
      <c r="L12" s="20"/>
    </row>
  </sheetData>
  <mergeCells count="14">
    <mergeCell ref="A1:L1"/>
    <mergeCell ref="A2:L2"/>
    <mergeCell ref="A4:A5"/>
    <mergeCell ref="B4:B5"/>
    <mergeCell ref="C4:C5"/>
    <mergeCell ref="D4:D5"/>
    <mergeCell ref="A10:A11"/>
    <mergeCell ref="A6:A8"/>
    <mergeCell ref="J4:J5"/>
    <mergeCell ref="K4:K5"/>
    <mergeCell ref="L4:L5"/>
    <mergeCell ref="H4:I4"/>
    <mergeCell ref="E4:E5"/>
    <mergeCell ref="F4:G4"/>
  </mergeCells>
  <pageMargins left="0.7" right="0.7" top="0.75" bottom="0.75" header="0.3" footer="0.3"/>
  <pageSetup scale="62"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45"/>
  <sheetViews>
    <sheetView tabSelected="1" workbookViewId="0">
      <pane ySplit="3" topLeftCell="A4" activePane="bottomLeft" state="frozen"/>
      <selection pane="bottomLeft" activeCell="B8" sqref="B8"/>
    </sheetView>
  </sheetViews>
  <sheetFormatPr defaultRowHeight="15" x14ac:dyDescent="0.25"/>
  <cols>
    <col min="1" max="1" width="25.28515625" customWidth="1"/>
    <col min="2" max="2" width="9.140625" style="30" customWidth="1"/>
    <col min="3" max="3" width="4.7109375" style="60" customWidth="1"/>
    <col min="4" max="4" width="53.28515625" customWidth="1"/>
    <col min="5" max="6" width="14.140625" style="29" customWidth="1"/>
    <col min="7" max="8" width="14.140625" customWidth="1"/>
  </cols>
  <sheetData>
    <row r="2" spans="1:8" x14ac:dyDescent="0.25">
      <c r="A2" s="83" t="s">
        <v>176</v>
      </c>
      <c r="B2" s="69" t="s">
        <v>134</v>
      </c>
      <c r="C2" s="83" t="s">
        <v>14</v>
      </c>
      <c r="D2" s="84" t="s">
        <v>49</v>
      </c>
      <c r="E2" s="81" t="s">
        <v>173</v>
      </c>
      <c r="F2" s="82"/>
      <c r="G2" s="81" t="s">
        <v>175</v>
      </c>
      <c r="H2" s="82"/>
    </row>
    <row r="3" spans="1:8" x14ac:dyDescent="0.25">
      <c r="A3" s="83"/>
      <c r="B3" s="69"/>
      <c r="C3" s="83"/>
      <c r="D3" s="85"/>
      <c r="E3" s="54" t="s">
        <v>174</v>
      </c>
      <c r="F3" s="55" t="s">
        <v>51</v>
      </c>
      <c r="G3" s="54" t="s">
        <v>174</v>
      </c>
      <c r="H3" s="55" t="s">
        <v>51</v>
      </c>
    </row>
    <row r="4" spans="1:8" ht="30" x14ac:dyDescent="0.25">
      <c r="A4" s="86" t="s">
        <v>170</v>
      </c>
      <c r="B4" s="44" t="s">
        <v>135</v>
      </c>
      <c r="C4" s="56">
        <v>23</v>
      </c>
      <c r="D4" s="45" t="s">
        <v>136</v>
      </c>
      <c r="E4" s="50">
        <v>0.61</v>
      </c>
      <c r="F4" s="39">
        <v>0.64</v>
      </c>
      <c r="G4" s="39">
        <f>AVERAGE(64%,55%,59%)</f>
        <v>0.59333333333333327</v>
      </c>
      <c r="H4" s="40">
        <f>AVERAGE(63%,63%,60%)</f>
        <v>0.62</v>
      </c>
    </row>
    <row r="5" spans="1:8" x14ac:dyDescent="0.25">
      <c r="A5" s="87"/>
      <c r="B5" s="42" t="s">
        <v>135</v>
      </c>
      <c r="C5" s="57">
        <v>24</v>
      </c>
      <c r="D5" s="46" t="s">
        <v>137</v>
      </c>
      <c r="E5" s="51">
        <v>0.71</v>
      </c>
      <c r="F5" s="33">
        <v>0.81</v>
      </c>
      <c r="G5" s="33">
        <v>0.65</v>
      </c>
      <c r="H5" s="34">
        <v>0.82</v>
      </c>
    </row>
    <row r="6" spans="1:8" x14ac:dyDescent="0.25">
      <c r="A6" s="87"/>
      <c r="B6" s="42" t="s">
        <v>135</v>
      </c>
      <c r="C6" s="57">
        <v>25</v>
      </c>
      <c r="D6" s="46" t="s">
        <v>112</v>
      </c>
      <c r="E6" s="51">
        <v>0.77</v>
      </c>
      <c r="F6" s="33">
        <v>0.89</v>
      </c>
      <c r="G6" s="33">
        <v>0.72</v>
      </c>
      <c r="H6" s="34">
        <v>0.9</v>
      </c>
    </row>
    <row r="7" spans="1:8" x14ac:dyDescent="0.25">
      <c r="A7" s="87"/>
      <c r="B7" s="42" t="s">
        <v>135</v>
      </c>
      <c r="C7" s="57">
        <v>27</v>
      </c>
      <c r="D7" s="46" t="s">
        <v>138</v>
      </c>
      <c r="E7" s="51">
        <v>0.54</v>
      </c>
      <c r="F7" s="33">
        <v>0.56999999999999995</v>
      </c>
      <c r="G7" s="33">
        <v>0.5</v>
      </c>
      <c r="H7" s="34">
        <v>0.46</v>
      </c>
    </row>
    <row r="8" spans="1:8" x14ac:dyDescent="0.25">
      <c r="A8" s="87"/>
      <c r="B8" s="42" t="s">
        <v>135</v>
      </c>
      <c r="C8" s="57">
        <v>28</v>
      </c>
      <c r="D8" s="46" t="s">
        <v>139</v>
      </c>
      <c r="E8" s="51">
        <v>0.78</v>
      </c>
      <c r="F8" s="33">
        <v>0.86</v>
      </c>
      <c r="G8" s="33">
        <v>0.87</v>
      </c>
      <c r="H8" s="34">
        <v>0.86</v>
      </c>
    </row>
    <row r="9" spans="1:8" ht="30" x14ac:dyDescent="0.25">
      <c r="A9" s="87"/>
      <c r="B9" s="42" t="s">
        <v>135</v>
      </c>
      <c r="C9" s="57">
        <v>29</v>
      </c>
      <c r="D9" s="47" t="s">
        <v>115</v>
      </c>
      <c r="E9" s="51">
        <v>0.46</v>
      </c>
      <c r="F9" s="33">
        <v>0.63</v>
      </c>
      <c r="G9" s="33">
        <v>0.47</v>
      </c>
      <c r="H9" s="34">
        <v>0.57999999999999996</v>
      </c>
    </row>
    <row r="10" spans="1:8" x14ac:dyDescent="0.25">
      <c r="A10" s="87"/>
      <c r="B10" s="42" t="s">
        <v>135</v>
      </c>
      <c r="C10" s="57">
        <v>76</v>
      </c>
      <c r="D10" s="46" t="s">
        <v>140</v>
      </c>
      <c r="E10" s="51">
        <v>0.79</v>
      </c>
      <c r="F10" s="33">
        <v>0.87</v>
      </c>
      <c r="G10" s="33">
        <v>0.77</v>
      </c>
      <c r="H10" s="34">
        <v>0.84</v>
      </c>
    </row>
    <row r="11" spans="1:8" ht="30" x14ac:dyDescent="0.25">
      <c r="A11" s="88"/>
      <c r="B11" s="43" t="s">
        <v>18</v>
      </c>
      <c r="C11" s="58">
        <v>13</v>
      </c>
      <c r="D11" s="48" t="s">
        <v>163</v>
      </c>
      <c r="E11" s="52">
        <v>0.87</v>
      </c>
      <c r="F11" s="37">
        <v>0.93</v>
      </c>
      <c r="G11" s="37"/>
      <c r="H11" s="38"/>
    </row>
    <row r="12" spans="1:8" ht="30" x14ac:dyDescent="0.25">
      <c r="A12" s="89" t="s">
        <v>141</v>
      </c>
      <c r="B12" s="41" t="s">
        <v>135</v>
      </c>
      <c r="C12" s="59">
        <v>58</v>
      </c>
      <c r="D12" s="49" t="s">
        <v>98</v>
      </c>
      <c r="E12" s="53">
        <v>0.73</v>
      </c>
      <c r="F12" s="31">
        <v>0.78</v>
      </c>
      <c r="G12" s="31">
        <v>0.81</v>
      </c>
      <c r="H12" s="32">
        <v>0.81</v>
      </c>
    </row>
    <row r="13" spans="1:8" ht="30" x14ac:dyDescent="0.25">
      <c r="A13" s="87"/>
      <c r="B13" s="42" t="s">
        <v>135</v>
      </c>
      <c r="C13" s="57">
        <v>59</v>
      </c>
      <c r="D13" s="47" t="s">
        <v>142</v>
      </c>
      <c r="E13" s="51">
        <v>0.8</v>
      </c>
      <c r="F13" s="33">
        <v>0.8</v>
      </c>
      <c r="G13" s="33">
        <v>0.86</v>
      </c>
      <c r="H13" s="34">
        <v>0.79</v>
      </c>
    </row>
    <row r="14" spans="1:8" ht="30" x14ac:dyDescent="0.25">
      <c r="A14" s="88"/>
      <c r="B14" s="43" t="s">
        <v>135</v>
      </c>
      <c r="C14" s="58">
        <v>78</v>
      </c>
      <c r="D14" s="48" t="s">
        <v>143</v>
      </c>
      <c r="E14" s="52">
        <v>0.79</v>
      </c>
      <c r="F14" s="37">
        <v>0.84</v>
      </c>
      <c r="G14" s="37">
        <v>0.85</v>
      </c>
      <c r="H14" s="38">
        <v>0.85</v>
      </c>
    </row>
    <row r="15" spans="1:8" x14ac:dyDescent="0.25">
      <c r="A15" s="89" t="s">
        <v>144</v>
      </c>
      <c r="B15" s="41" t="s">
        <v>135</v>
      </c>
      <c r="C15" s="59">
        <v>70</v>
      </c>
      <c r="D15" s="49" t="s">
        <v>145</v>
      </c>
      <c r="E15" s="53">
        <v>0.92</v>
      </c>
      <c r="F15" s="31">
        <v>0.95</v>
      </c>
      <c r="G15" s="31">
        <v>0.94</v>
      </c>
      <c r="H15" s="32">
        <v>0.93</v>
      </c>
    </row>
    <row r="16" spans="1:8" ht="30" x14ac:dyDescent="0.25">
      <c r="A16" s="87"/>
      <c r="B16" s="42" t="s">
        <v>135</v>
      </c>
      <c r="C16" s="57">
        <v>71</v>
      </c>
      <c r="D16" s="47" t="s">
        <v>146</v>
      </c>
      <c r="E16" s="51">
        <v>0.87</v>
      </c>
      <c r="F16" s="33">
        <v>0.88</v>
      </c>
      <c r="G16" s="33">
        <v>0.84</v>
      </c>
      <c r="H16" s="34">
        <v>0.86</v>
      </c>
    </row>
    <row r="17" spans="1:8" ht="30" x14ac:dyDescent="0.25">
      <c r="A17" s="87"/>
      <c r="B17" s="42" t="s">
        <v>135</v>
      </c>
      <c r="C17" s="57">
        <v>73</v>
      </c>
      <c r="D17" s="47" t="s">
        <v>147</v>
      </c>
      <c r="E17" s="51">
        <v>0.64</v>
      </c>
      <c r="F17" s="33">
        <v>0.75</v>
      </c>
      <c r="G17" s="35"/>
      <c r="H17" s="36"/>
    </row>
    <row r="18" spans="1:8" x14ac:dyDescent="0.25">
      <c r="A18" s="87"/>
      <c r="B18" s="42" t="s">
        <v>135</v>
      </c>
      <c r="C18" s="57">
        <v>77</v>
      </c>
      <c r="D18" s="47" t="s">
        <v>148</v>
      </c>
      <c r="E18" s="51">
        <v>0.8</v>
      </c>
      <c r="F18" s="33">
        <v>0.82</v>
      </c>
      <c r="G18" s="33">
        <v>0.83</v>
      </c>
      <c r="H18" s="34">
        <v>0.87</v>
      </c>
    </row>
    <row r="19" spans="1:8" ht="30" x14ac:dyDescent="0.25">
      <c r="A19" s="87"/>
      <c r="B19" s="42" t="s">
        <v>18</v>
      </c>
      <c r="C19" s="57">
        <v>1</v>
      </c>
      <c r="D19" s="47" t="s">
        <v>155</v>
      </c>
      <c r="E19" s="51">
        <f>34%+32%+21%</f>
        <v>0.87</v>
      </c>
      <c r="F19" s="33">
        <f>35%+36%+17%</f>
        <v>0.88</v>
      </c>
      <c r="G19" s="33">
        <f>45.5%+31.2%</f>
        <v>0.76700000000000002</v>
      </c>
      <c r="H19" s="34">
        <f>53.4%+30.7%</f>
        <v>0.84099999999999997</v>
      </c>
    </row>
    <row r="20" spans="1:8" ht="30" x14ac:dyDescent="0.25">
      <c r="A20" s="87"/>
      <c r="B20" s="42" t="s">
        <v>18</v>
      </c>
      <c r="C20" s="57">
        <v>3</v>
      </c>
      <c r="D20" s="47" t="s">
        <v>156</v>
      </c>
      <c r="E20" s="51">
        <f>40%+31%+19%</f>
        <v>0.89999999999999991</v>
      </c>
      <c r="F20" s="33">
        <f>43%+34%+15%</f>
        <v>0.92</v>
      </c>
      <c r="G20" s="33"/>
      <c r="H20" s="34"/>
    </row>
    <row r="21" spans="1:8" ht="45" x14ac:dyDescent="0.25">
      <c r="A21" s="87"/>
      <c r="B21" s="42" t="s">
        <v>18</v>
      </c>
      <c r="C21" s="57">
        <v>5</v>
      </c>
      <c r="D21" s="47" t="s">
        <v>157</v>
      </c>
      <c r="E21" s="51">
        <f>39%+20%+10%</f>
        <v>0.69000000000000006</v>
      </c>
      <c r="F21" s="33">
        <f>38%+24%+12%</f>
        <v>0.74</v>
      </c>
      <c r="G21" s="33">
        <f>55.4%+25.4%</f>
        <v>0.80799999999999994</v>
      </c>
      <c r="H21" s="34">
        <f>61.3%+20.7%</f>
        <v>0.82</v>
      </c>
    </row>
    <row r="22" spans="1:8" x14ac:dyDescent="0.25">
      <c r="A22" s="87"/>
      <c r="B22" s="42" t="s">
        <v>18</v>
      </c>
      <c r="C22" s="57">
        <v>6</v>
      </c>
      <c r="D22" s="47" t="s">
        <v>158</v>
      </c>
      <c r="E22" s="51">
        <v>0.77</v>
      </c>
      <c r="F22" s="33">
        <v>0.85</v>
      </c>
      <c r="G22" s="33"/>
      <c r="H22" s="34"/>
    </row>
    <row r="23" spans="1:8" ht="30" x14ac:dyDescent="0.25">
      <c r="A23" s="87"/>
      <c r="B23" s="42" t="s">
        <v>18</v>
      </c>
      <c r="C23" s="57">
        <v>7</v>
      </c>
      <c r="D23" s="47" t="s">
        <v>159</v>
      </c>
      <c r="E23" s="51">
        <v>0.91</v>
      </c>
      <c r="F23" s="33">
        <v>0.84</v>
      </c>
      <c r="G23" s="33"/>
      <c r="H23" s="34"/>
    </row>
    <row r="24" spans="1:8" ht="30" x14ac:dyDescent="0.25">
      <c r="A24" s="87"/>
      <c r="B24" s="42" t="s">
        <v>18</v>
      </c>
      <c r="C24" s="57">
        <v>8</v>
      </c>
      <c r="D24" s="47" t="s">
        <v>160</v>
      </c>
      <c r="E24" s="51">
        <v>0.8</v>
      </c>
      <c r="F24" s="33">
        <v>0.8</v>
      </c>
      <c r="G24" s="33">
        <f>59.7%+27.7%</f>
        <v>0.87399999999999989</v>
      </c>
      <c r="H24" s="34">
        <f>73.8%+20.5%</f>
        <v>0.94299999999999995</v>
      </c>
    </row>
    <row r="25" spans="1:8" ht="30" x14ac:dyDescent="0.25">
      <c r="A25" s="87"/>
      <c r="B25" s="42" t="s">
        <v>18</v>
      </c>
      <c r="C25" s="57">
        <v>11</v>
      </c>
      <c r="D25" s="47" t="s">
        <v>161</v>
      </c>
      <c r="E25" s="51">
        <v>0.83</v>
      </c>
      <c r="F25" s="33">
        <v>0.78</v>
      </c>
      <c r="G25" s="33">
        <f>61.3%+30.7%</f>
        <v>0.91999999999999993</v>
      </c>
      <c r="H25" s="34">
        <f>69.1%+25.9%</f>
        <v>0.95</v>
      </c>
    </row>
    <row r="26" spans="1:8" ht="30" x14ac:dyDescent="0.25">
      <c r="A26" s="87"/>
      <c r="B26" s="42" t="s">
        <v>18</v>
      </c>
      <c r="C26" s="57">
        <v>12</v>
      </c>
      <c r="D26" s="47" t="s">
        <v>162</v>
      </c>
      <c r="E26" s="51">
        <v>0.72</v>
      </c>
      <c r="F26" s="33">
        <v>0.75</v>
      </c>
      <c r="G26" s="33"/>
      <c r="H26" s="34"/>
    </row>
    <row r="27" spans="1:8" ht="45" x14ac:dyDescent="0.25">
      <c r="A27" s="87"/>
      <c r="B27" s="42" t="s">
        <v>18</v>
      </c>
      <c r="C27" s="57">
        <v>23</v>
      </c>
      <c r="D27" s="47" t="s">
        <v>164</v>
      </c>
      <c r="E27" s="51">
        <f>47%+23%+10%</f>
        <v>0.79999999999999993</v>
      </c>
      <c r="F27" s="33">
        <f>47%+30%+10%</f>
        <v>0.87</v>
      </c>
      <c r="G27" s="33">
        <f>50%+11.1%</f>
        <v>0.61099999999999999</v>
      </c>
      <c r="H27" s="34">
        <f>64.8%+18.6%</f>
        <v>0.83400000000000007</v>
      </c>
    </row>
    <row r="28" spans="1:8" ht="45" x14ac:dyDescent="0.25">
      <c r="A28" s="87"/>
      <c r="B28" s="42" t="s">
        <v>18</v>
      </c>
      <c r="C28" s="57">
        <v>27</v>
      </c>
      <c r="D28" s="47" t="s">
        <v>165</v>
      </c>
      <c r="E28" s="51">
        <v>0.73</v>
      </c>
      <c r="F28" s="33">
        <v>0.67</v>
      </c>
      <c r="G28" s="33"/>
      <c r="H28" s="34"/>
    </row>
    <row r="29" spans="1:8" ht="30" x14ac:dyDescent="0.25">
      <c r="A29" s="87"/>
      <c r="B29" s="42" t="s">
        <v>18</v>
      </c>
      <c r="C29" s="57">
        <v>28</v>
      </c>
      <c r="D29" s="47" t="s">
        <v>166</v>
      </c>
      <c r="E29" s="51">
        <v>0.7</v>
      </c>
      <c r="F29" s="33">
        <v>0.7</v>
      </c>
      <c r="G29" s="33">
        <f>56.1%+17.1%</f>
        <v>0.7320000000000001</v>
      </c>
      <c r="H29" s="34">
        <f>56.4%+14%</f>
        <v>0.70399999999999996</v>
      </c>
    </row>
    <row r="30" spans="1:8" ht="45" x14ac:dyDescent="0.25">
      <c r="A30" s="87"/>
      <c r="B30" s="42" t="s">
        <v>18</v>
      </c>
      <c r="C30" s="57">
        <v>45</v>
      </c>
      <c r="D30" s="47" t="s">
        <v>171</v>
      </c>
      <c r="E30" s="51">
        <v>7.0000000000000007E-2</v>
      </c>
      <c r="F30" s="33">
        <v>0.27</v>
      </c>
      <c r="G30" s="33"/>
      <c r="H30" s="34"/>
    </row>
    <row r="31" spans="1:8" ht="30" x14ac:dyDescent="0.25">
      <c r="A31" s="87"/>
      <c r="B31" s="42" t="s">
        <v>18</v>
      </c>
      <c r="C31" s="57">
        <v>46</v>
      </c>
      <c r="D31" s="47" t="s">
        <v>76</v>
      </c>
      <c r="E31" s="51">
        <v>0.06</v>
      </c>
      <c r="F31" s="33">
        <v>0.13</v>
      </c>
      <c r="G31" s="33"/>
      <c r="H31" s="34"/>
    </row>
    <row r="32" spans="1:8" ht="30" x14ac:dyDescent="0.25">
      <c r="A32" s="87"/>
      <c r="B32" s="42" t="s">
        <v>18</v>
      </c>
      <c r="C32" s="57">
        <v>53</v>
      </c>
      <c r="D32" s="47" t="s">
        <v>84</v>
      </c>
      <c r="E32" s="51">
        <v>0.51</v>
      </c>
      <c r="F32" s="33">
        <v>0.56999999999999995</v>
      </c>
      <c r="G32" s="33"/>
      <c r="H32" s="34"/>
    </row>
    <row r="33" spans="1:8" ht="45" x14ac:dyDescent="0.25">
      <c r="A33" s="87"/>
      <c r="B33" s="42" t="s">
        <v>18</v>
      </c>
      <c r="C33" s="57">
        <v>54</v>
      </c>
      <c r="D33" s="47" t="s">
        <v>32</v>
      </c>
      <c r="E33" s="51">
        <v>0.75</v>
      </c>
      <c r="F33" s="33">
        <v>0.81</v>
      </c>
      <c r="G33" s="33"/>
      <c r="H33" s="34"/>
    </row>
    <row r="34" spans="1:8" x14ac:dyDescent="0.25">
      <c r="A34" s="87"/>
      <c r="B34" s="42" t="s">
        <v>18</v>
      </c>
      <c r="C34" s="57">
        <v>55</v>
      </c>
      <c r="D34" s="47" t="s">
        <v>33</v>
      </c>
      <c r="E34" s="51">
        <v>0.79</v>
      </c>
      <c r="F34" s="33">
        <v>0.78</v>
      </c>
      <c r="G34" s="33"/>
      <c r="H34" s="34"/>
    </row>
    <row r="35" spans="1:8" ht="30" x14ac:dyDescent="0.25">
      <c r="A35" s="87"/>
      <c r="B35" s="42" t="s">
        <v>18</v>
      </c>
      <c r="C35" s="57">
        <v>56</v>
      </c>
      <c r="D35" s="47" t="s">
        <v>85</v>
      </c>
      <c r="E35" s="51">
        <v>0.31</v>
      </c>
      <c r="F35" s="33">
        <v>0.4</v>
      </c>
      <c r="G35" s="33"/>
      <c r="H35" s="34"/>
    </row>
    <row r="36" spans="1:8" ht="45" x14ac:dyDescent="0.25">
      <c r="A36" s="88"/>
      <c r="B36" s="43" t="s">
        <v>18</v>
      </c>
      <c r="C36" s="58">
        <v>58</v>
      </c>
      <c r="D36" s="48" t="s">
        <v>172</v>
      </c>
      <c r="E36" s="52">
        <v>0.73</v>
      </c>
      <c r="F36" s="37">
        <v>0.81</v>
      </c>
      <c r="G36" s="37"/>
      <c r="H36" s="38"/>
    </row>
    <row r="37" spans="1:8" x14ac:dyDescent="0.25">
      <c r="A37" s="89" t="s">
        <v>153</v>
      </c>
      <c r="B37" s="41" t="s">
        <v>135</v>
      </c>
      <c r="C37" s="59">
        <v>96</v>
      </c>
      <c r="D37" s="49" t="s">
        <v>117</v>
      </c>
      <c r="E37" s="53">
        <v>0.85</v>
      </c>
      <c r="F37" s="31">
        <v>0.83</v>
      </c>
      <c r="G37" s="31">
        <f>1-20%</f>
        <v>0.8</v>
      </c>
      <c r="H37" s="32">
        <f>1-15%</f>
        <v>0.85</v>
      </c>
    </row>
    <row r="38" spans="1:8" x14ac:dyDescent="0.25">
      <c r="A38" s="87"/>
      <c r="B38" s="42" t="s">
        <v>135</v>
      </c>
      <c r="C38" s="57">
        <v>98</v>
      </c>
      <c r="D38" s="47" t="s">
        <v>119</v>
      </c>
      <c r="E38" s="51">
        <v>0.86</v>
      </c>
      <c r="F38" s="33">
        <v>0.91</v>
      </c>
      <c r="G38" s="33">
        <v>0.89</v>
      </c>
      <c r="H38" s="34">
        <v>0.9</v>
      </c>
    </row>
    <row r="39" spans="1:8" x14ac:dyDescent="0.25">
      <c r="A39" s="88"/>
      <c r="B39" s="43" t="s">
        <v>135</v>
      </c>
      <c r="C39" s="58">
        <v>99</v>
      </c>
      <c r="D39" s="48" t="s">
        <v>154</v>
      </c>
      <c r="E39" s="52">
        <v>0.82</v>
      </c>
      <c r="F39" s="37">
        <v>0.86</v>
      </c>
      <c r="G39" s="37">
        <f>1-29%</f>
        <v>0.71</v>
      </c>
      <c r="H39" s="38">
        <f>1-11%</f>
        <v>0.89</v>
      </c>
    </row>
    <row r="40" spans="1:8" x14ac:dyDescent="0.25">
      <c r="A40" s="89" t="s">
        <v>149</v>
      </c>
      <c r="B40" s="41" t="s">
        <v>135</v>
      </c>
      <c r="C40" s="59">
        <v>83</v>
      </c>
      <c r="D40" s="49" t="s">
        <v>150</v>
      </c>
      <c r="E40" s="53">
        <v>0.84</v>
      </c>
      <c r="F40" s="31">
        <v>0.88</v>
      </c>
      <c r="G40" s="31">
        <v>0.92</v>
      </c>
      <c r="H40" s="32">
        <v>0.92</v>
      </c>
    </row>
    <row r="41" spans="1:8" x14ac:dyDescent="0.25">
      <c r="A41" s="87"/>
      <c r="B41" s="42" t="s">
        <v>135</v>
      </c>
      <c r="C41" s="57">
        <v>84</v>
      </c>
      <c r="D41" s="47" t="s">
        <v>151</v>
      </c>
      <c r="E41" s="51">
        <v>0.86</v>
      </c>
      <c r="F41" s="33">
        <v>0.79</v>
      </c>
      <c r="G41" s="33">
        <v>0.87</v>
      </c>
      <c r="H41" s="34">
        <v>0.83</v>
      </c>
    </row>
    <row r="42" spans="1:8" x14ac:dyDescent="0.25">
      <c r="A42" s="87"/>
      <c r="B42" s="42" t="s">
        <v>135</v>
      </c>
      <c r="C42" s="57">
        <v>85</v>
      </c>
      <c r="D42" s="47" t="s">
        <v>152</v>
      </c>
      <c r="E42" s="51">
        <v>0.65</v>
      </c>
      <c r="F42" s="33">
        <v>0.59</v>
      </c>
      <c r="G42" s="33">
        <v>0.63</v>
      </c>
      <c r="H42" s="34">
        <v>0.65</v>
      </c>
    </row>
    <row r="43" spans="1:8" ht="30" x14ac:dyDescent="0.25">
      <c r="A43" s="87"/>
      <c r="B43" s="42" t="s">
        <v>18</v>
      </c>
      <c r="C43" s="57">
        <v>32</v>
      </c>
      <c r="D43" s="47" t="s">
        <v>167</v>
      </c>
      <c r="E43" s="51">
        <v>0.85</v>
      </c>
      <c r="F43" s="33">
        <v>0.87</v>
      </c>
      <c r="G43" s="33"/>
      <c r="H43" s="34"/>
    </row>
    <row r="44" spans="1:8" x14ac:dyDescent="0.25">
      <c r="A44" s="87"/>
      <c r="B44" s="42" t="s">
        <v>18</v>
      </c>
      <c r="C44" s="57">
        <v>33</v>
      </c>
      <c r="D44" s="47" t="s">
        <v>168</v>
      </c>
      <c r="E44" s="51">
        <v>0.89</v>
      </c>
      <c r="F44" s="33">
        <v>0.78</v>
      </c>
      <c r="G44" s="33"/>
      <c r="H44" s="34"/>
    </row>
    <row r="45" spans="1:8" ht="30" x14ac:dyDescent="0.25">
      <c r="A45" s="88"/>
      <c r="B45" s="43" t="s">
        <v>18</v>
      </c>
      <c r="C45" s="58">
        <v>34</v>
      </c>
      <c r="D45" s="48" t="s">
        <v>169</v>
      </c>
      <c r="E45" s="52">
        <v>0.41</v>
      </c>
      <c r="F45" s="37">
        <v>0.44</v>
      </c>
      <c r="G45" s="37"/>
      <c r="H45" s="38"/>
    </row>
  </sheetData>
  <mergeCells count="11">
    <mergeCell ref="A4:A11"/>
    <mergeCell ref="A12:A14"/>
    <mergeCell ref="A15:A36"/>
    <mergeCell ref="A37:A39"/>
    <mergeCell ref="A40:A45"/>
    <mergeCell ref="G2:H2"/>
    <mergeCell ref="A2:A3"/>
    <mergeCell ref="B2:B3"/>
    <mergeCell ref="D2:D3"/>
    <mergeCell ref="C2:C3"/>
    <mergeCell ref="E2:F2"/>
  </mergeCells>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NCI table 1</vt:lpstr>
      <vt:lpstr>NCI table 2</vt:lpstr>
      <vt:lpstr>Others</vt:lpstr>
      <vt:lpstr>'NCI table 1'!Print_Titles</vt:lpstr>
    </vt:vector>
  </TitlesOfParts>
  <Company>DC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ServUS</dc:creator>
  <cp:lastModifiedBy>ServUS</cp:lastModifiedBy>
  <cp:lastPrinted>2015-09-03T21:10:26Z</cp:lastPrinted>
  <dcterms:created xsi:type="dcterms:W3CDTF">2015-08-19T21:05:23Z</dcterms:created>
  <dcterms:modified xsi:type="dcterms:W3CDTF">2015-09-21T20:43:59Z</dcterms:modified>
</cp:coreProperties>
</file>