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565"/>
  </bookViews>
  <sheets>
    <sheet name="NCI table 1" sheetId="1" r:id="rId1"/>
    <sheet name="NCI table 2" sheetId="3" r:id="rId2"/>
    <sheet name="Others" sheetId="4" r:id="rId3"/>
  </sheets>
  <definedNames>
    <definedName name="_xlnm._FilterDatabase" localSheetId="0" hidden="1">'NCI table 1'!$A$5:$N$80</definedName>
    <definedName name="_xlnm._FilterDatabase" localSheetId="2" hidden="1">Others!$A$3:$J$45</definedName>
    <definedName name="_xlnm.Print_Titles" localSheetId="0">'NCI table 1'!$1:$5</definedName>
  </definedNames>
  <calcPr calcId="145621"/>
</workbook>
</file>

<file path=xl/calcChain.xml><?xml version="1.0" encoding="utf-8"?>
<calcChain xmlns="http://schemas.openxmlformats.org/spreadsheetml/2006/main">
  <c r="L7" i="3" l="1"/>
  <c r="M7" i="3"/>
  <c r="L8" i="3"/>
  <c r="M8" i="3"/>
  <c r="L9" i="3"/>
  <c r="M9" i="3"/>
  <c r="L10" i="3"/>
  <c r="M10" i="3"/>
  <c r="L11" i="3"/>
  <c r="M11" i="3"/>
  <c r="L12" i="3"/>
  <c r="M12" i="3"/>
  <c r="M6" i="3"/>
  <c r="L6" i="3"/>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M36" i="1"/>
  <c r="L36" i="1"/>
  <c r="M35" i="1"/>
  <c r="L35" i="1"/>
  <c r="M34" i="1"/>
  <c r="L34"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6" i="1"/>
  <c r="L6" i="1"/>
  <c r="N17" i="1" l="1"/>
  <c r="N20" i="1"/>
  <c r="N22" i="1"/>
  <c r="N68" i="1"/>
  <c r="N77" i="1"/>
  <c r="N13" i="1"/>
  <c r="N18" i="1"/>
  <c r="N21" i="1"/>
  <c r="N43" i="1"/>
  <c r="N47" i="1"/>
  <c r="N58" i="1"/>
  <c r="N60" i="1"/>
  <c r="N64" i="1"/>
  <c r="N72" i="1"/>
  <c r="F27" i="4"/>
  <c r="E27" i="4"/>
  <c r="F21" i="4"/>
  <c r="F20" i="4"/>
  <c r="E20" i="4"/>
  <c r="F19" i="4"/>
  <c r="E19" i="4"/>
  <c r="F76" i="1" l="1"/>
  <c r="M33" i="1"/>
  <c r="L33" i="1"/>
  <c r="M32" i="1"/>
  <c r="L32" i="1"/>
  <c r="M31" i="1"/>
  <c r="L31" i="1"/>
  <c r="M30" i="1"/>
  <c r="L30" i="1"/>
  <c r="M29" i="1"/>
  <c r="L29" i="1"/>
  <c r="M28" i="1"/>
  <c r="L28" i="1"/>
  <c r="M12" i="1"/>
  <c r="L12" i="1"/>
  <c r="M11" i="1"/>
  <c r="L11" i="1"/>
  <c r="M10" i="1"/>
  <c r="L10" i="1"/>
  <c r="M9" i="1"/>
  <c r="L9" i="1"/>
  <c r="M8" i="1"/>
  <c r="L8" i="1"/>
  <c r="M7" i="1"/>
  <c r="L7" i="1"/>
  <c r="G78" i="1"/>
  <c r="F78" i="1"/>
  <c r="G69" i="1"/>
  <c r="F69" i="1"/>
  <c r="G77" i="1"/>
  <c r="F77" i="1"/>
  <c r="G68" i="1"/>
  <c r="F68" i="1"/>
  <c r="G67" i="1"/>
  <c r="F67" i="1"/>
  <c r="G76" i="1"/>
  <c r="G41" i="1"/>
  <c r="F41" i="1"/>
  <c r="G75" i="1"/>
  <c r="F75" i="1"/>
  <c r="G40" i="1"/>
  <c r="F40" i="1"/>
  <c r="G39" i="1"/>
  <c r="F39" i="1"/>
  <c r="N8" i="1" l="1"/>
  <c r="N12" i="1"/>
  <c r="N29" i="1"/>
  <c r="N33" i="1"/>
  <c r="J29" i="4"/>
  <c r="I29" i="4"/>
  <c r="J27" i="4"/>
  <c r="I27" i="4"/>
  <c r="J25" i="4"/>
  <c r="I25" i="4"/>
  <c r="J24" i="4"/>
  <c r="I24" i="4"/>
  <c r="J21" i="4"/>
  <c r="I21" i="4"/>
  <c r="J19" i="4"/>
  <c r="I19" i="4"/>
  <c r="J39" i="4"/>
  <c r="I39" i="4"/>
  <c r="J37" i="4"/>
  <c r="I37" i="4"/>
  <c r="J4" i="4"/>
  <c r="I4" i="4"/>
  <c r="H21" i="4"/>
  <c r="H20" i="4"/>
  <c r="H19" i="4"/>
  <c r="H27" i="4"/>
  <c r="G27" i="4"/>
  <c r="G21" i="4"/>
  <c r="G20" i="4"/>
  <c r="G19" i="4"/>
  <c r="K7" i="3" l="1"/>
  <c r="J7" i="3"/>
  <c r="K6" i="3"/>
  <c r="J6" i="3"/>
  <c r="K39" i="1" l="1"/>
  <c r="J39" i="1"/>
  <c r="J56" i="1"/>
  <c r="K55" i="1"/>
  <c r="J55" i="1"/>
  <c r="K35" i="1"/>
  <c r="J35" i="1"/>
  <c r="K40" i="1"/>
  <c r="J40" i="1"/>
  <c r="K79" i="1"/>
  <c r="J79" i="1"/>
  <c r="K67" i="1"/>
  <c r="J67" i="1"/>
  <c r="K26" i="1"/>
  <c r="J26" i="1"/>
  <c r="K25" i="1"/>
  <c r="J25" i="1"/>
  <c r="K77" i="1"/>
  <c r="J77" i="1"/>
  <c r="K75" i="1"/>
  <c r="J75" i="1"/>
  <c r="K74" i="1"/>
  <c r="J74" i="1"/>
  <c r="K73" i="1"/>
  <c r="J73" i="1"/>
  <c r="K44" i="1"/>
  <c r="J44" i="1"/>
  <c r="K49" i="1"/>
  <c r="J49" i="1"/>
  <c r="K46" i="1"/>
  <c r="J46" i="1"/>
  <c r="K45" i="1"/>
  <c r="J45" i="1"/>
  <c r="K63" i="1"/>
  <c r="J63" i="1"/>
  <c r="H68" i="1"/>
  <c r="I67" i="1"/>
  <c r="H67" i="1"/>
  <c r="I41" i="1" l="1"/>
  <c r="H41" i="1"/>
  <c r="I40" i="1"/>
  <c r="H40" i="1"/>
  <c r="I39" i="1"/>
  <c r="H39" i="1"/>
  <c r="I78" i="1" l="1"/>
  <c r="H78" i="1"/>
  <c r="I77" i="1"/>
  <c r="H77" i="1"/>
  <c r="I76" i="1"/>
  <c r="H76" i="1"/>
  <c r="I75" i="1"/>
  <c r="H75" i="1"/>
  <c r="I69" i="1"/>
  <c r="H69" i="1"/>
  <c r="I68" i="1"/>
</calcChain>
</file>

<file path=xl/comments1.xml><?xml version="1.0" encoding="utf-8"?>
<comments xmlns="http://schemas.openxmlformats.org/spreadsheetml/2006/main">
  <authors>
    <author>ServUS</author>
  </authors>
  <commentList>
    <comment ref="G19" authorId="0">
      <text>
        <r>
          <rPr>
            <b/>
            <sz val="9"/>
            <color indexed="81"/>
            <rFont val="Tahoma"/>
            <family val="2"/>
          </rPr>
          <t>ServUS:</t>
        </r>
        <r>
          <rPr>
            <sz val="9"/>
            <color indexed="81"/>
            <rFont val="Tahoma"/>
            <family val="2"/>
          </rPr>
          <t xml:space="preserve">
Incl: Always, usually and sometimes</t>
        </r>
      </text>
    </comment>
    <comment ref="I19" authorId="0">
      <text>
        <r>
          <rPr>
            <b/>
            <sz val="9"/>
            <color indexed="81"/>
            <rFont val="Tahoma"/>
            <family val="2"/>
          </rPr>
          <t>ServUS:</t>
        </r>
        <r>
          <rPr>
            <sz val="9"/>
            <color indexed="81"/>
            <rFont val="Tahoma"/>
            <family val="2"/>
          </rPr>
          <t xml:space="preserve">
Incl: Always, Usually, and Sometimes</t>
        </r>
      </text>
    </comment>
    <comment ref="G20" authorId="0">
      <text>
        <r>
          <rPr>
            <b/>
            <sz val="9"/>
            <color indexed="81"/>
            <rFont val="Tahoma"/>
            <family val="2"/>
          </rPr>
          <t>ServUS:</t>
        </r>
        <r>
          <rPr>
            <sz val="9"/>
            <color indexed="81"/>
            <rFont val="Tahoma"/>
            <family val="2"/>
          </rPr>
          <t xml:space="preserve">
Incl: Always, Usually, and Sometimes</t>
        </r>
      </text>
    </comment>
    <comment ref="G21" authorId="0">
      <text>
        <r>
          <rPr>
            <b/>
            <sz val="9"/>
            <color indexed="81"/>
            <rFont val="Tahoma"/>
            <family val="2"/>
          </rPr>
          <t>ServUS:</t>
        </r>
        <r>
          <rPr>
            <sz val="9"/>
            <color indexed="81"/>
            <rFont val="Tahoma"/>
            <family val="2"/>
          </rPr>
          <t xml:space="preserve">
Incl: Always, Usually, and Sometimes
</t>
        </r>
      </text>
    </comment>
    <comment ref="G23" authorId="0">
      <text>
        <r>
          <rPr>
            <b/>
            <sz val="9"/>
            <color indexed="81"/>
            <rFont val="Tahoma"/>
            <family val="2"/>
          </rPr>
          <t>ServUS:</t>
        </r>
        <r>
          <rPr>
            <sz val="9"/>
            <color indexed="81"/>
            <rFont val="Tahoma"/>
            <family val="2"/>
          </rPr>
          <t xml:space="preserve">
DC scored at the top</t>
        </r>
      </text>
    </comment>
    <comment ref="G24" authorId="0">
      <text>
        <r>
          <rPr>
            <b/>
            <sz val="9"/>
            <color indexed="81"/>
            <rFont val="Tahoma"/>
            <family val="2"/>
          </rPr>
          <t>ServUS:</t>
        </r>
        <r>
          <rPr>
            <sz val="9"/>
            <color indexed="81"/>
            <rFont val="Tahoma"/>
            <family val="2"/>
          </rPr>
          <t xml:space="preserve">
DC scored at the bottom</t>
        </r>
      </text>
    </comment>
    <comment ref="G27" authorId="0">
      <text>
        <r>
          <rPr>
            <b/>
            <sz val="9"/>
            <color indexed="81"/>
            <rFont val="Tahoma"/>
            <family val="2"/>
          </rPr>
          <t>ServUS:</t>
        </r>
        <r>
          <rPr>
            <sz val="9"/>
            <color indexed="81"/>
            <rFont val="Tahoma"/>
            <family val="2"/>
          </rPr>
          <t xml:space="preserve">
Incl: Always, Usually, and Sometimes</t>
        </r>
      </text>
    </comment>
    <comment ref="G30" authorId="0">
      <text>
        <r>
          <rPr>
            <b/>
            <sz val="9"/>
            <color indexed="81"/>
            <rFont val="Tahoma"/>
            <family val="2"/>
          </rPr>
          <t>ServUS:</t>
        </r>
        <r>
          <rPr>
            <sz val="9"/>
            <color indexed="81"/>
            <rFont val="Tahoma"/>
            <family val="2"/>
          </rPr>
          <t xml:space="preserve">
"Yes" answer</t>
        </r>
      </text>
    </comment>
    <comment ref="G31" authorId="0">
      <text>
        <r>
          <rPr>
            <b/>
            <sz val="9"/>
            <color indexed="81"/>
            <rFont val="Tahoma"/>
            <family val="2"/>
          </rPr>
          <t>ServUS:</t>
        </r>
        <r>
          <rPr>
            <sz val="9"/>
            <color indexed="81"/>
            <rFont val="Tahoma"/>
            <family val="2"/>
          </rPr>
          <t xml:space="preserve">
"Yes" answer</t>
        </r>
      </text>
    </comment>
    <comment ref="G35" authorId="0">
      <text>
        <r>
          <rPr>
            <b/>
            <sz val="9"/>
            <color indexed="81"/>
            <rFont val="Tahoma"/>
            <family val="2"/>
          </rPr>
          <t>ServUS:</t>
        </r>
        <r>
          <rPr>
            <sz val="9"/>
            <color indexed="81"/>
            <rFont val="Tahoma"/>
            <family val="2"/>
          </rPr>
          <t xml:space="preserve">
"Yes" answer
</t>
        </r>
      </text>
    </comment>
    <comment ref="G36" authorId="0">
      <text>
        <r>
          <rPr>
            <b/>
            <sz val="9"/>
            <color indexed="81"/>
            <rFont val="Tahoma"/>
            <family val="2"/>
          </rPr>
          <t>ServUS:</t>
        </r>
        <r>
          <rPr>
            <sz val="9"/>
            <color indexed="81"/>
            <rFont val="Tahoma"/>
            <family val="2"/>
          </rPr>
          <t xml:space="preserve">
DC cored at the bottom</t>
        </r>
      </text>
    </comment>
    <comment ref="G45" authorId="0">
      <text>
        <r>
          <rPr>
            <b/>
            <sz val="9"/>
            <color indexed="81"/>
            <rFont val="Tahoma"/>
            <family val="2"/>
          </rPr>
          <t>ServUS:</t>
        </r>
        <r>
          <rPr>
            <sz val="9"/>
            <color indexed="81"/>
            <rFont val="Tahoma"/>
            <family val="2"/>
          </rPr>
          <t xml:space="preserve">
"Yes" answer
</t>
        </r>
      </text>
    </comment>
  </commentList>
</comments>
</file>

<file path=xl/sharedStrings.xml><?xml version="1.0" encoding="utf-8"?>
<sst xmlns="http://schemas.openxmlformats.org/spreadsheetml/2006/main" count="397" uniqueCount="180">
  <si>
    <t>NCI indicators for the New HCBS Requirements</t>
  </si>
  <si>
    <t>HCBS Setting Requirements</t>
  </si>
  <si>
    <t>Table 1. New HCBS Setting (Residential and Day) Requirements</t>
  </si>
  <si>
    <t>Is integrated in and supports access to the greater community</t>
  </si>
  <si>
    <t>Allows full access to the greater community</t>
  </si>
  <si>
    <t xml:space="preserve">Is chosen by the individual from among residential and day options that include generic settings </t>
  </si>
  <si>
    <t>Respects the participants's option to choose a private unit in a residential setting</t>
  </si>
  <si>
    <t>Optimizes autonomy and independence in making life choices</t>
  </si>
  <si>
    <t>Facilitates choice and services and who provides them</t>
  </si>
  <si>
    <t>NCI indicators</t>
  </si>
  <si>
    <t xml:space="preserve">ACS </t>
  </si>
  <si>
    <t>Extend to which (frequency and with whom) people do certain activities in the community: shopping, errands, religious practice, entertainment, exercise, vacations, meetings</t>
  </si>
  <si>
    <t>#</t>
  </si>
  <si>
    <t>If people are supported to see friends and family when they want</t>
  </si>
  <si>
    <t>If people have a way to get places they want to go</t>
  </si>
  <si>
    <t>Whether the individual has friends or relationships with persons other than paid staff or family</t>
  </si>
  <si>
    <t>AFS</t>
  </si>
  <si>
    <t>If person participates in unpaid activities in a community-based setting (e.g., volunteer activities, skill training, community experiences)</t>
  </si>
  <si>
    <t>If person has a paid job in the community</t>
  </si>
  <si>
    <t>If person has a job in the community</t>
  </si>
  <si>
    <t>If person wants to go somewhere, do they always have a way to get there</t>
  </si>
  <si>
    <t>Does your family member participate in community activities (such as going out to a restaurant, movies, or sporting events)?</t>
  </si>
  <si>
    <t>If person chose their residence, work and/or day services</t>
  </si>
  <si>
    <t>Did you/your family member choose the provider agencies who work with your family?</t>
  </si>
  <si>
    <t>Can you/your family member choose a different provider agency if s/he wants to?</t>
  </si>
  <si>
    <t>If person chose to live alone, or chose people they live with</t>
  </si>
  <si>
    <t>Does person feel safe at home?  At work/day program?  In neighborhood?  If person does not feel safe, is there someone to talk to?</t>
  </si>
  <si>
    <t>Do you know the process for filling a complaint or grievances against provider agencies or staff?</t>
  </si>
  <si>
    <t>Are you satisfied with the way complaints or grievances against provider agencies or staff are handled and resolved?</t>
  </si>
  <si>
    <t>Do you know how to report abuse or neglect?</t>
  </si>
  <si>
    <t>Within the past year, if abuse or neglect occurred, did you report it?  If yes, were the appropriate people responsive to your report?</t>
  </si>
  <si>
    <t>Did person make decisions or did others make decisions about: where and with whom they live, where they work, what day program they attend, their daily schedule, how to spend free time, how to spend their own money, choice of case manager, and choice of staff.</t>
  </si>
  <si>
    <t>Did you/your family member choose the individual support workers if s/he wants to?</t>
  </si>
  <si>
    <t>Can you/your family member choose different support workers if s/he wants to?</t>
  </si>
  <si>
    <t xml:space="preserve">If person would like to live somewhere else </t>
  </si>
  <si>
    <t>If person wants to go somewhere else during day (for those in a day program or other regularly scheduled activity)</t>
  </si>
  <si>
    <t>If person chose their case manager</t>
  </si>
  <si>
    <t>If person chose their home, job, and day program or activity staff</t>
  </si>
  <si>
    <t>If person chose their day/work support staff</t>
  </si>
  <si>
    <t>Did your family member choose the provider agency that work with him or her?</t>
  </si>
  <si>
    <t>Can your family member choose a different provider agency if s/he wants to</t>
  </si>
  <si>
    <t>Did your family member choose the individual support workers who work directly with him/her?</t>
  </si>
  <si>
    <t>Can your family member choose different support workers if s/he wants to?</t>
  </si>
  <si>
    <t>Did your family member choose his/her case manager/service coordinator</t>
  </si>
  <si>
    <t>Does your family member have control and/or input over the hiring and management of his/her support workers</t>
  </si>
  <si>
    <t>Text</t>
  </si>
  <si>
    <t>DC score</t>
  </si>
  <si>
    <t>NCI Average</t>
  </si>
  <si>
    <t>Table 2. New HCBS Setting Requirements for Provider Owned/Operated Residential Settings</t>
  </si>
  <si>
    <t>Privacy in their unit including entrances lockable by the individual (staff have keys as needed)</t>
  </si>
  <si>
    <t>If others announce themselves before entering home</t>
  </si>
  <si>
    <t>If others announce themselves before entering bedroom</t>
  </si>
  <si>
    <t>If person has enough privacy</t>
  </si>
  <si>
    <t>Choice of roommate</t>
  </si>
  <si>
    <t>Choice of people to live with</t>
  </si>
  <si>
    <t>control of their schedule and activities</t>
  </si>
  <si>
    <t>Control of daily schedule</t>
  </si>
  <si>
    <t>Control of free time use</t>
  </si>
  <si>
    <t>Visitors at any time</t>
  </si>
  <si>
    <t>Whether person can be alone with visitors or if there are some rules/restrictions</t>
  </si>
  <si>
    <t>If person can decide how to spend his/her own money</t>
  </si>
  <si>
    <t>Does your family member have a say in how this money is spent?  If yes, does your family member have all the information s/he needs to make decisions about how to spend this money?</t>
  </si>
  <si>
    <t>48a</t>
  </si>
  <si>
    <t>If person interacts with neighbors</t>
  </si>
  <si>
    <t>If person has integrated employment as a goal in their service plan.</t>
  </si>
  <si>
    <t>If person has been treated with respect by paid providers/staff?</t>
  </si>
  <si>
    <t>N/A</t>
  </si>
  <si>
    <t>Does your family member participate in community activities (such as going out to a restaurant, movies, or sporting event)?</t>
  </si>
  <si>
    <t>Does your family member have enough supports to work or volunteer in the community?</t>
  </si>
  <si>
    <t>Does your family member know how much money is spent by the ID/DD agency on his/her behalf?</t>
  </si>
  <si>
    <t>Does your family member have a say in how this money is spent?</t>
  </si>
  <si>
    <t>2013 -14                                                    310 valid survey</t>
  </si>
  <si>
    <t>2009 -10                                                 393 valid survey</t>
  </si>
  <si>
    <t>Do you choose the provider agencies who work with your family?</t>
  </si>
  <si>
    <t>Does your family member choose the provider agencies who work with your family?</t>
  </si>
  <si>
    <t>Can you choose a different provider agency if you want to?</t>
  </si>
  <si>
    <t>Do you know the process for filing a complaint or grievance against provider agencies or staff?</t>
  </si>
  <si>
    <t>Within the past year, if abuse or neglect occurred, did you report it?</t>
  </si>
  <si>
    <t>Do you choose the individual support workers who work directly with your family?</t>
  </si>
  <si>
    <t>Does your family member choose the individual support workers who work directly with your family?</t>
  </si>
  <si>
    <t>Can you choose different support workers if you want to?</t>
  </si>
  <si>
    <t>Does your family member have control and/or input over the hiring and management of his/her support workers?</t>
  </si>
  <si>
    <t>Talk with their neighbors at least some of the time</t>
  </si>
  <si>
    <t># of times people reported they went out shopping in the past month</t>
  </si>
  <si>
    <t># of times people reported they went out on errands in the past month</t>
  </si>
  <si>
    <t>Reported # of times people went out in the past month for entertainment</t>
  </si>
  <si>
    <t># of times people reported they went out to religious services in the past month</t>
  </si>
  <si>
    <t># of times people reported they went out for exercise in the past month</t>
  </si>
  <si>
    <t># of times people reported they went on vacation in the past year</t>
  </si>
  <si>
    <t>Have friends and the support needed to see their friends when they want</t>
  </si>
  <si>
    <t>Have family they see and the support needed to see their family when they want</t>
  </si>
  <si>
    <t xml:space="preserve">Always have a way to get places when they want to go somewhere </t>
  </si>
  <si>
    <t>Have community employment as a goal in their service plan</t>
  </si>
  <si>
    <t>Choose or help decide what to buy with their money</t>
  </si>
  <si>
    <t>Chose or had some input in choosing where they live if not living at home with family</t>
  </si>
  <si>
    <t>Chose or had some input in choosing where they work</t>
  </si>
  <si>
    <t>Chose or had some input in choosing where they go during the day</t>
  </si>
  <si>
    <t>Chose or had some input in choosing their roommates if not in the family home</t>
  </si>
  <si>
    <t>Chose or were aware they could request to change the staff who help them at their home, job, or day program or activity</t>
  </si>
  <si>
    <t>choose or help decide their daily schedule</t>
  </si>
  <si>
    <t>Choose or help decide how to spend free time</t>
  </si>
  <si>
    <t>Would like to live somewhere else</t>
  </si>
  <si>
    <t>Attend a day program or activity and want to go someplace else or do something different during the day</t>
  </si>
  <si>
    <t>Chose or were aware they could request to change their case manager/service coordinator</t>
  </si>
  <si>
    <t>People always knock before entering home</t>
  </si>
  <si>
    <t>People always knock before entering bedroom</t>
  </si>
  <si>
    <t>Can be alone at home with visitors</t>
  </si>
  <si>
    <t>Have enough privacy at home</t>
  </si>
  <si>
    <t>Other never read their mail without permission</t>
  </si>
  <si>
    <t>Can use phone and Internet without restriction</t>
  </si>
  <si>
    <t>Rarely or never feel scared or afraid in their neighborhood</t>
  </si>
  <si>
    <t>Rarely or never feel scared or afraid at their work or day program</t>
  </si>
  <si>
    <t>have someone to go to for help if they ever feel scared</t>
  </si>
  <si>
    <t>Staff are nice and polite</t>
  </si>
  <si>
    <t>DC YoY</t>
  </si>
  <si>
    <t>NCI Average YoY</t>
  </si>
  <si>
    <t>Survey question</t>
  </si>
  <si>
    <t>2013 -14                    310 valid survey</t>
  </si>
  <si>
    <t>2009 -10                          393 valid survey</t>
  </si>
  <si>
    <t>NCI Indicator</t>
  </si>
  <si>
    <t>ACS</t>
  </si>
  <si>
    <t>Be aware they could request to change the staff who help them at their home, job, or day program or activity</t>
  </si>
  <si>
    <t>Choose or help decide their daily schedule</t>
  </si>
  <si>
    <t>Life decision scale</t>
  </si>
  <si>
    <t>Everyday choices scale</t>
  </si>
  <si>
    <t>Help make their service plan</t>
  </si>
  <si>
    <t>Mobility</t>
  </si>
  <si>
    <t>Have family they see and the support to see their family when they want</t>
  </si>
  <si>
    <t>Always have a way to get places when they want to go somewhere</t>
  </si>
  <si>
    <t>Customer service</t>
  </si>
  <si>
    <t>Met their service coordinator/case manager</t>
  </si>
  <si>
    <t>Service coordinator/case manager asks them what they want</t>
  </si>
  <si>
    <t>Service coordinator/case manager calls them back right away</t>
  </si>
  <si>
    <t>Get the services they need</t>
  </si>
  <si>
    <t>Health &amp; Wellness</t>
  </si>
  <si>
    <t>Had a complete physical exam in the past year</t>
  </si>
  <si>
    <t>Had a dental exam in the past year</t>
  </si>
  <si>
    <t>Had an eye exam in the past year</t>
  </si>
  <si>
    <t>Privacy</t>
  </si>
  <si>
    <t>Others never read their mail without permission</t>
  </si>
  <si>
    <t>Do you get enough information to help you participate in planning services for your family?</t>
  </si>
  <si>
    <t>Does the case manager/service coordinator tell you about other public services that your family is eligible for (food stamps, SSI, housing subsidies, etc.)?</t>
  </si>
  <si>
    <t>Does you family member have a service plan?</t>
  </si>
  <si>
    <t>Does the plan include all the services and supports your family member wants?</t>
  </si>
  <si>
    <t>Does your family member receive all of the services listed in the plan?</t>
  </si>
  <si>
    <t>Does the plan include all the services and supports you family member needs?</t>
  </si>
  <si>
    <t>Did you discuss how to handle emergencies related to your family member at the last service planning meeting?</t>
  </si>
  <si>
    <t>Have you or your family member received information about his/her rights?</t>
  </si>
  <si>
    <t>Does your family member have access to the special equipment or accommodations that s/he needs (for example, wheelchair, ramp, communication board)?</t>
  </si>
  <si>
    <t>If your family member transitioned from school services to state-funded services during the past year, were you happy with the transition process?</t>
  </si>
  <si>
    <t>If you asked for crisis or emergency services during the past year, were services provided when needed?</t>
  </si>
  <si>
    <t>If needed, do you have access to mental health services for your family member?</t>
  </si>
  <si>
    <t>If you need respite services, do you have access to them?</t>
  </si>
  <si>
    <t>Are there other services that your family member needs that are not currently offered or available?</t>
  </si>
  <si>
    <t>Choice/Control/Rights</t>
  </si>
  <si>
    <t>Do you know how much money is spent by the ID/DD agency on behalf of your family member with a developmental disability?</t>
  </si>
  <si>
    <t>Do you feel that services and supports have reduced your family's out-of-pocket expenses for your family member's care?</t>
  </si>
  <si>
    <t>2013-14</t>
  </si>
  <si>
    <t>DC</t>
  </si>
  <si>
    <t>2009-10</t>
  </si>
  <si>
    <t>Group</t>
  </si>
  <si>
    <t>2014-15                                  337 valid survey</t>
  </si>
  <si>
    <t>2014 -15                                                    337 valid survey</t>
  </si>
  <si>
    <t>if your family member has a say, does your family member have all the information s/he needs to make decision about how to spend this money?</t>
  </si>
  <si>
    <t>2014-15 survey year vs. 2013-14 survey year</t>
  </si>
  <si>
    <t>2014-15</t>
  </si>
  <si>
    <t>Do volunteer work</t>
  </si>
  <si>
    <t>Would like a job in the community</t>
  </si>
  <si>
    <t>Have a paid job in the community</t>
  </si>
  <si>
    <t>Ensures right to privacy, dignity and respect and freedom from coercion and restraint</t>
  </si>
  <si>
    <t>Does person have enough privacy, can be alone with guests, whether mail/email is read without permission, if the person can use the phone/internet without restriction, and whether people ask before entering the home or bedroom</t>
  </si>
  <si>
    <t>Rarely or never feel scared or afraid in their home</t>
  </si>
  <si>
    <t>Did your family member choose his/her case manager/service coordinator?</t>
  </si>
  <si>
    <t>Does your family member have friends or relationships with persons other than paid support workers or family?</t>
  </si>
  <si>
    <t>Provides opportunities to seek employment and work in competitive integrated settings, engage in community life, and control personal resources</t>
  </si>
  <si>
    <t>If person does not have a job in the community, do they want one?</t>
  </si>
  <si>
    <t>Does your family member have enough support (e.g., support workers, community resources) to work or volunteer in the community?</t>
  </si>
  <si>
    <t>Does the information you receive come from your case manager/service coordinator?</t>
  </si>
  <si>
    <t>DC progress compared with National progress (+/- 10%)</t>
  </si>
  <si>
    <t>Better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</si>
</sst>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auto="1"/>
      </bottom>
      <diagonal/>
    </border>
    <border>
      <left/>
      <right style="thin">
        <color indexed="64"/>
      </right>
      <top style="thin">
        <color indexed="64"/>
      </top>
      <bottom/>
      <diagonal/>
    </border>
    <border>
      <left style="hair">
        <color auto="1"/>
      </left>
      <right/>
      <top style="hair">
        <color auto="1"/>
      </top>
      <bottom style="thin">
        <color auto="1"/>
      </bottom>
      <diagonal/>
    </border>
    <border>
      <left style="thin">
        <color indexed="64"/>
      </left>
      <right/>
      <top style="thin">
        <color indexed="64"/>
      </top>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thin">
        <color indexed="64"/>
      </left>
      <right/>
      <top/>
      <bottom style="thin">
        <color indexed="64"/>
      </bottom>
      <diagonal/>
    </border>
  </borders>
  <cellStyleXfs count="1">
    <xf numFmtId="0" fontId="0" fillId="0" borderId="0"/>
  </cellStyleXfs>
  <cellXfs count="107">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Border="1" applyAlignment="1">
      <alignment horizontal="center"/>
    </xf>
    <xf numFmtId="9" fontId="0" fillId="0" borderId="1" xfId="0" applyNumberFormat="1" applyBorder="1" applyAlignment="1">
      <alignment horizontal="center" vertical="center"/>
    </xf>
    <xf numFmtId="9" fontId="1" fillId="0" borderId="1" xfId="0" applyNumberFormat="1" applyFont="1" applyBorder="1" applyAlignment="1">
      <alignment horizontal="center" vertical="center"/>
    </xf>
    <xf numFmtId="0" fontId="0" fillId="0" borderId="1" xfId="0" applyBorder="1" applyAlignment="1">
      <alignment horizontal="center" vertical="center" wrapText="1"/>
    </xf>
    <xf numFmtId="9" fontId="4" fillId="0" borderId="1" xfId="0" applyNumberFormat="1" applyFont="1" applyBorder="1" applyAlignment="1">
      <alignment horizontal="center" vertical="center"/>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vertical="center"/>
    </xf>
    <xf numFmtId="9" fontId="0" fillId="0" borderId="1" xfId="0" applyNumberFormat="1" applyBorder="1" applyAlignment="1">
      <alignment horizontal="center"/>
    </xf>
    <xf numFmtId="9" fontId="0" fillId="0" borderId="1" xfId="0" applyNumberFormat="1" applyBorder="1" applyAlignment="1">
      <alignment horizontal="center" vertical="center"/>
    </xf>
    <xf numFmtId="0" fontId="0" fillId="0" borderId="1" xfId="0" applyBorder="1" applyAlignment="1">
      <alignment horizont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xf>
    <xf numFmtId="0" fontId="0" fillId="0" borderId="0" xfId="0" applyAlignment="1">
      <alignment vertical="center"/>
    </xf>
    <xf numFmtId="9" fontId="2" fillId="0" borderId="1" xfId="0" applyNumberFormat="1" applyFont="1" applyBorder="1" applyAlignment="1">
      <alignment horizontal="center" vertical="center"/>
    </xf>
    <xf numFmtId="0" fontId="0" fillId="0" borderId="1" xfId="0" applyFont="1" applyBorder="1" applyAlignment="1">
      <alignment horizontal="center" vertical="top"/>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0" xfId="0" applyAlignment="1">
      <alignment vertical="top"/>
    </xf>
    <xf numFmtId="9" fontId="0" fillId="0" borderId="9" xfId="0" applyNumberFormat="1" applyBorder="1" applyAlignment="1">
      <alignment horizontal="center" vertical="center"/>
    </xf>
    <xf numFmtId="9" fontId="0" fillId="0" borderId="12" xfId="0" applyNumberFormat="1" applyBorder="1" applyAlignment="1">
      <alignment horizontal="center" vertical="center"/>
    </xf>
    <xf numFmtId="0" fontId="0" fillId="0" borderId="12" xfId="0" applyBorder="1" applyAlignment="1">
      <alignment horizontal="center" vertical="center"/>
    </xf>
    <xf numFmtId="9" fontId="0" fillId="0" borderId="15" xfId="0" applyNumberFormat="1" applyBorder="1" applyAlignment="1">
      <alignment horizontal="center" vertical="center"/>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4" xfId="0" applyBorder="1" applyAlignment="1">
      <alignment vertical="top"/>
    </xf>
    <xf numFmtId="0" fontId="0" fillId="0" borderId="23" xfId="0" applyBorder="1" applyAlignment="1">
      <alignment vertical="top" wrapText="1"/>
    </xf>
    <xf numFmtId="0" fontId="0" fillId="0" borderId="29" xfId="0" applyBorder="1"/>
    <xf numFmtId="0" fontId="0" fillId="0" borderId="29" xfId="0" applyBorder="1" applyAlignment="1">
      <alignment wrapText="1"/>
    </xf>
    <xf numFmtId="0" fontId="0" fillId="0" borderId="27" xfId="0" applyBorder="1" applyAlignment="1">
      <alignment wrapText="1"/>
    </xf>
    <xf numFmtId="0" fontId="0" fillId="0" borderId="30" xfId="0" applyBorder="1" applyAlignment="1">
      <alignment wrapText="1"/>
    </xf>
    <xf numFmtId="9" fontId="0" fillId="0" borderId="10" xfId="0" applyNumberFormat="1" applyBorder="1" applyAlignment="1">
      <alignment horizontal="center" vertical="center"/>
    </xf>
    <xf numFmtId="9" fontId="0" fillId="0" borderId="13" xfId="0" applyNumberFormat="1" applyBorder="1" applyAlignment="1">
      <alignment horizontal="center" vertical="center"/>
    </xf>
    <xf numFmtId="9" fontId="0" fillId="0" borderId="7" xfId="0" applyNumberForma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9" fontId="0" fillId="0" borderId="1" xfId="0" applyNumberForma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wrapText="1"/>
    </xf>
    <xf numFmtId="9"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9" fontId="0"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wrapText="1"/>
    </xf>
    <xf numFmtId="0" fontId="4" fillId="0" borderId="1" xfId="0" applyFont="1" applyBorder="1" applyAlignment="1">
      <alignment horizontal="center" vertical="center"/>
    </xf>
    <xf numFmtId="9" fontId="0" fillId="0" borderId="7" xfId="0" applyNumberFormat="1" applyBorder="1" applyAlignment="1">
      <alignment horizontal="center" vertical="center" wrapText="1"/>
    </xf>
    <xf numFmtId="9" fontId="0" fillId="0" borderId="9" xfId="0" applyNumberFormat="1" applyBorder="1" applyAlignment="1">
      <alignment horizontal="center" vertical="center" wrapText="1"/>
    </xf>
    <xf numFmtId="9" fontId="0" fillId="0" borderId="10" xfId="0" applyNumberFormat="1" applyBorder="1" applyAlignment="1">
      <alignment horizontal="center" vertical="center" wrapText="1"/>
    </xf>
    <xf numFmtId="9" fontId="0" fillId="0" borderId="12" xfId="0" applyNumberFormat="1" applyBorder="1" applyAlignment="1">
      <alignment horizontal="center" vertical="center" wrapText="1"/>
    </xf>
    <xf numFmtId="9" fontId="0" fillId="0" borderId="13" xfId="0" applyNumberFormat="1" applyBorder="1" applyAlignment="1">
      <alignment horizontal="center" vertical="center" wrapText="1"/>
    </xf>
    <xf numFmtId="9" fontId="0" fillId="0" borderId="15" xfId="0" applyNumberFormat="1" applyBorder="1" applyAlignment="1">
      <alignment horizontal="center" vertical="center" wrapText="1"/>
    </xf>
    <xf numFmtId="0" fontId="0" fillId="0" borderId="10" xfId="0" applyBorder="1" applyAlignment="1">
      <alignment horizontal="center" vertical="center"/>
    </xf>
    <xf numFmtId="9" fontId="0" fillId="0" borderId="1" xfId="0" applyNumberFormat="1" applyBorder="1" applyAlignment="1">
      <alignment horizontal="center" vertical="center"/>
    </xf>
    <xf numFmtId="0" fontId="2" fillId="0" borderId="3" xfId="0" applyFont="1" applyBorder="1" applyAlignment="1">
      <alignment horizontal="center"/>
    </xf>
    <xf numFmtId="0" fontId="2" fillId="0" borderId="3" xfId="0" applyFont="1" applyBorder="1" applyAlignment="1">
      <alignment horizontal="center" wrapText="1"/>
    </xf>
    <xf numFmtId="9" fontId="7" fillId="0" borderId="1" xfId="0" applyNumberFormat="1" applyFont="1" applyBorder="1" applyAlignment="1">
      <alignment horizontal="center" vertic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9"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left"/>
    </xf>
    <xf numFmtId="0" fontId="2" fillId="0" borderId="28" xfId="0" applyFont="1" applyBorder="1" applyAlignment="1">
      <alignment horizontal="left"/>
    </xf>
    <xf numFmtId="0" fontId="2" fillId="0" borderId="31" xfId="0" applyFont="1" applyBorder="1" applyAlignment="1">
      <alignment horizontal="left"/>
    </xf>
    <xf numFmtId="0" fontId="0" fillId="0" borderId="25"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cellXfs>
  <cellStyles count="1">
    <cellStyle name="Normal" xfId="0" builtinId="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topLeftCell="B1" zoomScale="86" zoomScaleNormal="86" workbookViewId="0">
      <pane ySplit="5" topLeftCell="A45" activePane="bottomLeft" state="frozen"/>
      <selection pane="bottomLeft" activeCell="N13" sqref="N13"/>
    </sheetView>
  </sheetViews>
  <sheetFormatPr defaultRowHeight="15" x14ac:dyDescent="0.25"/>
  <cols>
    <col min="1" max="1" width="27.5703125" customWidth="1"/>
    <col min="2" max="2" width="39.42578125" customWidth="1"/>
    <col min="3" max="3" width="9.5703125" customWidth="1"/>
    <col min="4" max="4" width="5.140625" style="20" customWidth="1"/>
    <col min="5" max="5" width="34.28515625" style="1" customWidth="1"/>
    <col min="6" max="6" width="10" style="1" customWidth="1"/>
    <col min="7" max="7" width="11.7109375" style="1" customWidth="1"/>
    <col min="8" max="8" width="10" style="1" customWidth="1"/>
    <col min="9" max="9" width="11.28515625" style="1" customWidth="1"/>
    <col min="10" max="10" width="10" style="1" customWidth="1"/>
    <col min="11" max="11" width="11.28515625" style="1" customWidth="1"/>
    <col min="12" max="13" width="12.140625" style="20" customWidth="1"/>
    <col min="14" max="14" width="16.85546875" style="22" customWidth="1"/>
  </cols>
  <sheetData>
    <row r="1" spans="1:14" ht="20.25" customHeight="1" x14ac:dyDescent="0.25">
      <c r="A1" s="91" t="s">
        <v>0</v>
      </c>
      <c r="B1" s="91"/>
      <c r="C1" s="91"/>
      <c r="D1" s="91"/>
      <c r="E1" s="91"/>
      <c r="F1" s="91"/>
      <c r="G1" s="91"/>
      <c r="H1" s="91"/>
      <c r="I1" s="91"/>
      <c r="J1" s="91"/>
      <c r="K1" s="91"/>
      <c r="L1" s="91"/>
      <c r="M1" s="91"/>
      <c r="N1" s="91"/>
    </row>
    <row r="2" spans="1:14" ht="15" customHeight="1" x14ac:dyDescent="0.25">
      <c r="A2" s="92" t="s">
        <v>2</v>
      </c>
      <c r="B2" s="92"/>
      <c r="C2" s="92"/>
      <c r="D2" s="92"/>
      <c r="E2" s="92"/>
      <c r="F2" s="92"/>
      <c r="G2" s="92"/>
      <c r="H2" s="92"/>
      <c r="I2" s="92"/>
      <c r="J2" s="92"/>
      <c r="K2" s="92"/>
      <c r="L2" s="92"/>
      <c r="M2" s="92"/>
      <c r="N2" s="92"/>
    </row>
    <row r="3" spans="1:14" ht="6.75" customHeight="1" x14ac:dyDescent="0.25">
      <c r="A3" s="14"/>
      <c r="B3" s="14"/>
      <c r="C3" s="14"/>
      <c r="D3" s="14"/>
      <c r="E3" s="14"/>
      <c r="F3" s="55"/>
      <c r="G3" s="55"/>
      <c r="H3" s="14"/>
      <c r="I3" s="14"/>
      <c r="J3" s="13"/>
      <c r="K3" s="13"/>
    </row>
    <row r="4" spans="1:14" ht="33.75" customHeight="1" x14ac:dyDescent="0.25">
      <c r="A4" s="83" t="s">
        <v>1</v>
      </c>
      <c r="B4" s="83" t="s">
        <v>45</v>
      </c>
      <c r="C4" s="84" t="s">
        <v>9</v>
      </c>
      <c r="D4" s="85" t="s">
        <v>12</v>
      </c>
      <c r="E4" s="83" t="s">
        <v>116</v>
      </c>
      <c r="F4" s="89" t="s">
        <v>161</v>
      </c>
      <c r="G4" s="90"/>
      <c r="H4" s="87" t="s">
        <v>117</v>
      </c>
      <c r="I4" s="88"/>
      <c r="J4" s="93" t="s">
        <v>118</v>
      </c>
      <c r="K4" s="93"/>
      <c r="L4" s="89" t="s">
        <v>164</v>
      </c>
      <c r="M4" s="90"/>
      <c r="N4" s="84" t="s">
        <v>178</v>
      </c>
    </row>
    <row r="5" spans="1:14" ht="30" customHeight="1" x14ac:dyDescent="0.25">
      <c r="A5" s="83"/>
      <c r="B5" s="83"/>
      <c r="C5" s="84"/>
      <c r="D5" s="86"/>
      <c r="E5" s="83"/>
      <c r="F5" s="54" t="s">
        <v>46</v>
      </c>
      <c r="G5" s="54" t="s">
        <v>47</v>
      </c>
      <c r="H5" s="6" t="s">
        <v>46</v>
      </c>
      <c r="I5" s="6" t="s">
        <v>47</v>
      </c>
      <c r="J5" s="6" t="s">
        <v>46</v>
      </c>
      <c r="K5" s="6" t="s">
        <v>47</v>
      </c>
      <c r="L5" s="62" t="s">
        <v>114</v>
      </c>
      <c r="M5" s="63" t="s">
        <v>115</v>
      </c>
      <c r="N5" s="84"/>
    </row>
    <row r="6" spans="1:14" ht="30" x14ac:dyDescent="0.25">
      <c r="A6" s="76" t="s">
        <v>3</v>
      </c>
      <c r="B6" s="24" t="s">
        <v>63</v>
      </c>
      <c r="C6" s="11" t="s">
        <v>10</v>
      </c>
      <c r="D6" s="11">
        <v>65</v>
      </c>
      <c r="E6" s="18" t="s">
        <v>82</v>
      </c>
      <c r="F6" s="60">
        <v>0.64</v>
      </c>
      <c r="G6" s="60">
        <v>0.64</v>
      </c>
      <c r="H6" s="12">
        <v>0.69</v>
      </c>
      <c r="I6" s="12">
        <v>0.65</v>
      </c>
      <c r="J6" s="2" t="s">
        <v>66</v>
      </c>
      <c r="K6" s="2" t="s">
        <v>66</v>
      </c>
      <c r="L6" s="75">
        <f>F6-H6</f>
        <v>-4.9999999999999933E-2</v>
      </c>
      <c r="M6" s="59">
        <f>G6-I6</f>
        <v>-1.0000000000000009E-2</v>
      </c>
      <c r="N6" s="19"/>
    </row>
    <row r="7" spans="1:14" ht="29.25" customHeight="1" x14ac:dyDescent="0.25">
      <c r="A7" s="77"/>
      <c r="B7" s="76" t="s">
        <v>11</v>
      </c>
      <c r="C7" s="2" t="s">
        <v>10</v>
      </c>
      <c r="D7" s="2">
        <v>48</v>
      </c>
      <c r="E7" s="17" t="s">
        <v>83</v>
      </c>
      <c r="F7" s="56">
        <v>4</v>
      </c>
      <c r="G7" s="56">
        <v>4</v>
      </c>
      <c r="H7" s="2">
        <v>3.9</v>
      </c>
      <c r="I7" s="2">
        <v>4.0999999999999996</v>
      </c>
      <c r="J7" s="2">
        <v>2.74</v>
      </c>
      <c r="K7" s="2">
        <v>3.53</v>
      </c>
      <c r="L7" s="75">
        <f t="shared" ref="L7:L33" si="0">F7/H7-1</f>
        <v>2.5641025641025772E-2</v>
      </c>
      <c r="M7" s="59">
        <f t="shared" ref="M7:M33" si="1">G7/I7-1</f>
        <v>-2.4390243902438935E-2</v>
      </c>
      <c r="N7" s="19"/>
    </row>
    <row r="8" spans="1:14" ht="30" customHeight="1" x14ac:dyDescent="0.25">
      <c r="A8" s="77"/>
      <c r="B8" s="77"/>
      <c r="C8" s="2" t="s">
        <v>10</v>
      </c>
      <c r="D8" s="2">
        <v>49</v>
      </c>
      <c r="E8" s="17" t="s">
        <v>84</v>
      </c>
      <c r="F8" s="56">
        <v>2</v>
      </c>
      <c r="G8" s="56">
        <v>3</v>
      </c>
      <c r="H8" s="2">
        <v>2.9</v>
      </c>
      <c r="I8" s="2">
        <v>2.9</v>
      </c>
      <c r="J8" s="2">
        <v>2.54</v>
      </c>
      <c r="K8" s="2">
        <v>2.73</v>
      </c>
      <c r="L8" s="75">
        <f t="shared" si="0"/>
        <v>-0.31034482758620685</v>
      </c>
      <c r="M8" s="59">
        <f t="shared" si="1"/>
        <v>3.4482758620689724E-2</v>
      </c>
      <c r="N8" s="19" t="str">
        <f>IF(L8&gt;(M8+0.1),"Better","Worse")</f>
        <v>Worse</v>
      </c>
    </row>
    <row r="9" spans="1:14" ht="29.25" customHeight="1" x14ac:dyDescent="0.25">
      <c r="A9" s="77"/>
      <c r="B9" s="77"/>
      <c r="C9" s="2" t="s">
        <v>10</v>
      </c>
      <c r="D9" s="2">
        <v>50</v>
      </c>
      <c r="E9" s="17" t="s">
        <v>85</v>
      </c>
      <c r="F9" s="56">
        <v>4</v>
      </c>
      <c r="G9" s="56">
        <v>3</v>
      </c>
      <c r="H9" s="2">
        <v>3.7</v>
      </c>
      <c r="I9" s="2">
        <v>2.7</v>
      </c>
      <c r="J9" s="2">
        <v>2.76</v>
      </c>
      <c r="K9" s="2">
        <v>2.59</v>
      </c>
      <c r="L9" s="75">
        <f t="shared" si="0"/>
        <v>8.1081081081080919E-2</v>
      </c>
      <c r="M9" s="59">
        <f t="shared" si="1"/>
        <v>0.11111111111111094</v>
      </c>
      <c r="N9" s="19"/>
    </row>
    <row r="10" spans="1:14" ht="42" customHeight="1" x14ac:dyDescent="0.25">
      <c r="A10" s="77"/>
      <c r="B10" s="77"/>
      <c r="C10" s="2" t="s">
        <v>10</v>
      </c>
      <c r="D10" s="2">
        <v>52</v>
      </c>
      <c r="E10" s="17" t="s">
        <v>86</v>
      </c>
      <c r="F10" s="56">
        <v>3</v>
      </c>
      <c r="G10" s="56">
        <v>2</v>
      </c>
      <c r="H10" s="2">
        <v>2.5</v>
      </c>
      <c r="I10" s="2">
        <v>1.8</v>
      </c>
      <c r="J10" s="2">
        <v>2.36</v>
      </c>
      <c r="K10" s="2">
        <v>1.94</v>
      </c>
      <c r="L10" s="75">
        <f t="shared" si="0"/>
        <v>0.19999999999999996</v>
      </c>
      <c r="M10" s="59">
        <f t="shared" si="1"/>
        <v>0.11111111111111116</v>
      </c>
      <c r="N10" s="19"/>
    </row>
    <row r="11" spans="1:14" ht="29.25" customHeight="1" x14ac:dyDescent="0.25">
      <c r="A11" s="77"/>
      <c r="B11" s="77"/>
      <c r="C11" s="2" t="s">
        <v>10</v>
      </c>
      <c r="D11" s="2">
        <v>53</v>
      </c>
      <c r="E11" s="17" t="s">
        <v>87</v>
      </c>
      <c r="F11" s="56">
        <v>10</v>
      </c>
      <c r="G11" s="56">
        <v>6</v>
      </c>
      <c r="H11" s="2">
        <v>10.199999999999999</v>
      </c>
      <c r="I11" s="2">
        <v>6.6</v>
      </c>
      <c r="J11" s="2">
        <v>7.18</v>
      </c>
      <c r="K11" s="2">
        <v>5.53</v>
      </c>
      <c r="L11" s="75">
        <f t="shared" si="0"/>
        <v>-1.9607843137254832E-2</v>
      </c>
      <c r="M11" s="59">
        <f t="shared" si="1"/>
        <v>-9.0909090909090828E-2</v>
      </c>
      <c r="N11" s="19"/>
    </row>
    <row r="12" spans="1:14" ht="28.5" customHeight="1" x14ac:dyDescent="0.25">
      <c r="A12" s="77"/>
      <c r="B12" s="78"/>
      <c r="C12" s="2" t="s">
        <v>10</v>
      </c>
      <c r="D12" s="2">
        <v>54</v>
      </c>
      <c r="E12" s="17" t="s">
        <v>88</v>
      </c>
      <c r="F12" s="56">
        <v>1</v>
      </c>
      <c r="G12" s="56">
        <v>1</v>
      </c>
      <c r="H12" s="2">
        <v>1.1000000000000001</v>
      </c>
      <c r="I12" s="2">
        <v>0.8</v>
      </c>
      <c r="J12" s="2">
        <v>0.99</v>
      </c>
      <c r="K12" s="2">
        <v>0.63</v>
      </c>
      <c r="L12" s="75">
        <f t="shared" si="0"/>
        <v>-9.0909090909090939E-2</v>
      </c>
      <c r="M12" s="59">
        <f t="shared" si="1"/>
        <v>0.25</v>
      </c>
      <c r="N12" s="19" t="str">
        <f t="shared" ref="N12:N72" si="2">IF(L12&gt;(M12+0.1),"Better","Worse")</f>
        <v>Worse</v>
      </c>
    </row>
    <row r="13" spans="1:14" ht="29.25" customHeight="1" x14ac:dyDescent="0.25">
      <c r="A13" s="77"/>
      <c r="B13" s="76" t="s">
        <v>13</v>
      </c>
      <c r="C13" s="2" t="s">
        <v>10</v>
      </c>
      <c r="D13" s="2">
        <v>58</v>
      </c>
      <c r="E13" s="17" t="s">
        <v>89</v>
      </c>
      <c r="F13" s="58">
        <v>0.86</v>
      </c>
      <c r="G13" s="58">
        <v>0.79</v>
      </c>
      <c r="H13" s="7">
        <v>0.73</v>
      </c>
      <c r="I13" s="7">
        <v>0.78</v>
      </c>
      <c r="J13" s="7">
        <v>0.81</v>
      </c>
      <c r="K13" s="7">
        <v>0.81</v>
      </c>
      <c r="L13" s="75">
        <f t="shared" ref="L13:L27" si="3">F13-H13</f>
        <v>0.13</v>
      </c>
      <c r="M13" s="59">
        <f t="shared" ref="M13:M27" si="4">G13-I13</f>
        <v>1.0000000000000009E-2</v>
      </c>
      <c r="N13" s="19" t="str">
        <f t="shared" si="2"/>
        <v>Better</v>
      </c>
    </row>
    <row r="14" spans="1:14" ht="44.25" customHeight="1" x14ac:dyDescent="0.25">
      <c r="A14" s="77"/>
      <c r="B14" s="78"/>
      <c r="C14" s="2" t="s">
        <v>10</v>
      </c>
      <c r="D14" s="2">
        <v>59</v>
      </c>
      <c r="E14" s="17" t="s">
        <v>90</v>
      </c>
      <c r="F14" s="58">
        <v>0.83</v>
      </c>
      <c r="G14" s="58">
        <v>0.8</v>
      </c>
      <c r="H14" s="7">
        <v>0.8</v>
      </c>
      <c r="I14" s="7">
        <v>0.8</v>
      </c>
      <c r="J14" s="7">
        <v>0.86</v>
      </c>
      <c r="K14" s="7">
        <v>0.79</v>
      </c>
      <c r="L14" s="75">
        <f t="shared" si="3"/>
        <v>2.9999999999999916E-2</v>
      </c>
      <c r="M14" s="59">
        <f t="shared" si="4"/>
        <v>0</v>
      </c>
      <c r="N14" s="19"/>
    </row>
    <row r="15" spans="1:14" ht="32.25" customHeight="1" x14ac:dyDescent="0.25">
      <c r="A15" s="77"/>
      <c r="B15" s="25" t="s">
        <v>14</v>
      </c>
      <c r="C15" s="2" t="s">
        <v>10</v>
      </c>
      <c r="D15" s="2">
        <v>78</v>
      </c>
      <c r="E15" s="17" t="s">
        <v>91</v>
      </c>
      <c r="F15" s="58">
        <v>0.88</v>
      </c>
      <c r="G15" s="58">
        <v>0.84</v>
      </c>
      <c r="H15" s="7">
        <v>0.79</v>
      </c>
      <c r="I15" s="7">
        <v>0.84</v>
      </c>
      <c r="J15" s="7">
        <v>0.85</v>
      </c>
      <c r="K15" s="7">
        <v>0.85</v>
      </c>
      <c r="L15" s="75">
        <f t="shared" si="3"/>
        <v>8.9999999999999969E-2</v>
      </c>
      <c r="M15" s="59">
        <f t="shared" si="4"/>
        <v>0</v>
      </c>
      <c r="N15" s="19"/>
    </row>
    <row r="16" spans="1:14" ht="60" x14ac:dyDescent="0.25">
      <c r="A16" s="77"/>
      <c r="B16" s="25" t="s">
        <v>15</v>
      </c>
      <c r="C16" s="2" t="s">
        <v>16</v>
      </c>
      <c r="D16" s="2">
        <v>50</v>
      </c>
      <c r="E16" s="9" t="s">
        <v>173</v>
      </c>
      <c r="F16" s="58">
        <v>0.78</v>
      </c>
      <c r="G16" s="58">
        <v>0.8</v>
      </c>
      <c r="H16" s="7">
        <v>0.76</v>
      </c>
      <c r="I16" s="7">
        <v>0.78</v>
      </c>
      <c r="J16" s="7">
        <v>0.75</v>
      </c>
      <c r="K16" s="7">
        <v>0.73</v>
      </c>
      <c r="L16" s="75">
        <f t="shared" si="3"/>
        <v>2.0000000000000018E-2</v>
      </c>
      <c r="M16" s="59">
        <f t="shared" si="4"/>
        <v>2.0000000000000018E-2</v>
      </c>
      <c r="N16" s="19"/>
    </row>
    <row r="17" spans="1:14" ht="60.75" customHeight="1" x14ac:dyDescent="0.25">
      <c r="A17" s="77"/>
      <c r="B17" s="25" t="s">
        <v>17</v>
      </c>
      <c r="C17" s="2" t="s">
        <v>10</v>
      </c>
      <c r="D17" s="2">
        <v>40</v>
      </c>
      <c r="E17" s="9" t="s">
        <v>166</v>
      </c>
      <c r="F17" s="58">
        <v>0.49</v>
      </c>
      <c r="G17" s="58">
        <v>0.34</v>
      </c>
      <c r="H17" s="7">
        <v>0.32</v>
      </c>
      <c r="I17" s="7">
        <v>0.32</v>
      </c>
      <c r="J17" s="7">
        <v>0.28000000000000003</v>
      </c>
      <c r="K17" s="7">
        <v>0.28999999999999998</v>
      </c>
      <c r="L17" s="75">
        <f t="shared" si="3"/>
        <v>0.16999999999999998</v>
      </c>
      <c r="M17" s="59">
        <f t="shared" si="4"/>
        <v>2.0000000000000018E-2</v>
      </c>
      <c r="N17" s="19" t="str">
        <f t="shared" si="2"/>
        <v>Better</v>
      </c>
    </row>
    <row r="18" spans="1:14" x14ac:dyDescent="0.25">
      <c r="A18" s="78"/>
      <c r="B18" s="25" t="s">
        <v>18</v>
      </c>
      <c r="C18" s="2" t="s">
        <v>10</v>
      </c>
      <c r="D18" s="2">
        <v>30</v>
      </c>
      <c r="E18" s="17" t="s">
        <v>168</v>
      </c>
      <c r="F18" s="57">
        <v>0.11</v>
      </c>
      <c r="G18" s="57">
        <v>0.17</v>
      </c>
      <c r="H18" s="7">
        <v>0.2</v>
      </c>
      <c r="I18" s="7">
        <v>0.16</v>
      </c>
      <c r="J18" s="2" t="s">
        <v>66</v>
      </c>
      <c r="K18" s="2" t="s">
        <v>66</v>
      </c>
      <c r="L18" s="75">
        <f t="shared" si="3"/>
        <v>-9.0000000000000011E-2</v>
      </c>
      <c r="M18" s="59">
        <f t="shared" si="4"/>
        <v>1.0000000000000009E-2</v>
      </c>
      <c r="N18" s="19" t="str">
        <f t="shared" si="2"/>
        <v>Worse</v>
      </c>
    </row>
    <row r="19" spans="1:14" ht="16.5" customHeight="1" x14ac:dyDescent="0.25">
      <c r="A19" s="76" t="s">
        <v>174</v>
      </c>
      <c r="B19" s="26" t="s">
        <v>19</v>
      </c>
      <c r="C19" s="2" t="s">
        <v>10</v>
      </c>
      <c r="D19" s="2"/>
      <c r="E19" s="9"/>
      <c r="F19" s="56"/>
      <c r="G19" s="56"/>
      <c r="H19" s="7"/>
      <c r="I19" s="7"/>
      <c r="J19" s="15">
        <v>0.42</v>
      </c>
      <c r="K19" s="15">
        <v>0.27</v>
      </c>
      <c r="L19" s="75">
        <f t="shared" si="3"/>
        <v>0</v>
      </c>
      <c r="M19" s="59">
        <f t="shared" si="4"/>
        <v>0</v>
      </c>
      <c r="N19" s="19"/>
    </row>
    <row r="20" spans="1:14" ht="30" x14ac:dyDescent="0.25">
      <c r="A20" s="77"/>
      <c r="B20" s="26" t="s">
        <v>175</v>
      </c>
      <c r="C20" s="2" t="s">
        <v>10</v>
      </c>
      <c r="D20" s="2">
        <v>37</v>
      </c>
      <c r="E20" s="9" t="s">
        <v>167</v>
      </c>
      <c r="F20" s="58">
        <v>0.74</v>
      </c>
      <c r="G20" s="58">
        <v>0.49</v>
      </c>
      <c r="H20" s="7">
        <v>0.57999999999999996</v>
      </c>
      <c r="I20" s="7">
        <v>0.49</v>
      </c>
      <c r="J20" s="7">
        <v>0.67</v>
      </c>
      <c r="K20" s="7">
        <v>0.46</v>
      </c>
      <c r="L20" s="75">
        <f t="shared" si="3"/>
        <v>0.16000000000000003</v>
      </c>
      <c r="M20" s="59">
        <f t="shared" si="4"/>
        <v>0</v>
      </c>
      <c r="N20" s="19" t="str">
        <f t="shared" si="2"/>
        <v>Better</v>
      </c>
    </row>
    <row r="21" spans="1:14" ht="30" x14ac:dyDescent="0.25">
      <c r="A21" s="77"/>
      <c r="B21" s="26" t="s">
        <v>64</v>
      </c>
      <c r="C21" s="2" t="s">
        <v>10</v>
      </c>
      <c r="D21" s="2">
        <v>38</v>
      </c>
      <c r="E21" s="9" t="s">
        <v>92</v>
      </c>
      <c r="F21" s="58">
        <v>0.78</v>
      </c>
      <c r="G21" s="58">
        <v>0.28000000000000003</v>
      </c>
      <c r="H21" s="10">
        <v>0.37</v>
      </c>
      <c r="I21" s="7">
        <v>0.25</v>
      </c>
      <c r="J21" s="10">
        <v>0.46</v>
      </c>
      <c r="K21" s="7">
        <v>0.23</v>
      </c>
      <c r="L21" s="75">
        <f t="shared" si="3"/>
        <v>0.41000000000000003</v>
      </c>
      <c r="M21" s="59">
        <f t="shared" si="4"/>
        <v>3.0000000000000027E-2</v>
      </c>
      <c r="N21" s="19" t="str">
        <f t="shared" si="2"/>
        <v>Better</v>
      </c>
    </row>
    <row r="22" spans="1:14" ht="60" x14ac:dyDescent="0.25">
      <c r="A22" s="77"/>
      <c r="B22" s="25" t="s">
        <v>17</v>
      </c>
      <c r="C22" s="2" t="s">
        <v>10</v>
      </c>
      <c r="D22" s="2">
        <v>40</v>
      </c>
      <c r="E22" s="9" t="s">
        <v>166</v>
      </c>
      <c r="F22" s="58">
        <v>0.49</v>
      </c>
      <c r="G22" s="58">
        <v>0.34</v>
      </c>
      <c r="H22" s="7">
        <v>0.32</v>
      </c>
      <c r="I22" s="7">
        <v>0.32</v>
      </c>
      <c r="J22" s="7">
        <v>0.28000000000000003</v>
      </c>
      <c r="K22" s="7">
        <v>0.28999999999999998</v>
      </c>
      <c r="L22" s="75">
        <f t="shared" si="3"/>
        <v>0.16999999999999998</v>
      </c>
      <c r="M22" s="59">
        <f t="shared" si="4"/>
        <v>2.0000000000000018E-2</v>
      </c>
      <c r="N22" s="19" t="str">
        <f t="shared" si="2"/>
        <v>Better</v>
      </c>
    </row>
    <row r="23" spans="1:14" ht="30" x14ac:dyDescent="0.25">
      <c r="A23" s="77"/>
      <c r="B23" s="25" t="s">
        <v>60</v>
      </c>
      <c r="C23" s="2" t="s">
        <v>10</v>
      </c>
      <c r="D23" s="2">
        <v>26</v>
      </c>
      <c r="E23" s="9" t="s">
        <v>93</v>
      </c>
      <c r="F23" s="58">
        <v>0.82</v>
      </c>
      <c r="G23" s="58">
        <v>0.86</v>
      </c>
      <c r="H23" s="7">
        <v>0.85</v>
      </c>
      <c r="I23" s="7">
        <v>0.86</v>
      </c>
      <c r="J23" s="7">
        <v>0.79</v>
      </c>
      <c r="K23" s="7">
        <v>0.88</v>
      </c>
      <c r="L23" s="75">
        <f t="shared" si="3"/>
        <v>-3.0000000000000027E-2</v>
      </c>
      <c r="M23" s="59">
        <f t="shared" si="4"/>
        <v>0</v>
      </c>
      <c r="N23" s="19"/>
    </row>
    <row r="24" spans="1:14" ht="60" x14ac:dyDescent="0.25">
      <c r="A24" s="77"/>
      <c r="B24" s="25" t="s">
        <v>176</v>
      </c>
      <c r="C24" s="2" t="s">
        <v>16</v>
      </c>
      <c r="D24" s="2">
        <v>51</v>
      </c>
      <c r="E24" s="9" t="s">
        <v>68</v>
      </c>
      <c r="F24" s="58">
        <v>0.73</v>
      </c>
      <c r="G24" s="58">
        <v>0.7</v>
      </c>
      <c r="H24" s="7">
        <v>0.67</v>
      </c>
      <c r="I24" s="7">
        <v>0.63</v>
      </c>
      <c r="J24" s="2" t="s">
        <v>66</v>
      </c>
      <c r="K24" s="2" t="s">
        <v>66</v>
      </c>
      <c r="L24" s="75">
        <f t="shared" si="3"/>
        <v>5.9999999999999942E-2</v>
      </c>
      <c r="M24" s="59">
        <f t="shared" si="4"/>
        <v>6.9999999999999951E-2</v>
      </c>
      <c r="N24" s="19"/>
    </row>
    <row r="25" spans="1:14" ht="45" x14ac:dyDescent="0.25">
      <c r="A25" s="77"/>
      <c r="B25" s="25" t="s">
        <v>69</v>
      </c>
      <c r="C25" s="2" t="s">
        <v>16</v>
      </c>
      <c r="D25" s="2">
        <v>46</v>
      </c>
      <c r="E25" s="9" t="s">
        <v>69</v>
      </c>
      <c r="F25" s="58">
        <v>0.06</v>
      </c>
      <c r="G25" s="58">
        <v>0.13</v>
      </c>
      <c r="H25" s="10">
        <v>0.06</v>
      </c>
      <c r="I25" s="10">
        <v>0.13</v>
      </c>
      <c r="J25" s="10">
        <f>38%+6%</f>
        <v>0.44</v>
      </c>
      <c r="K25" s="7">
        <f>40%+17.7%</f>
        <v>0.57699999999999996</v>
      </c>
      <c r="L25" s="75">
        <f t="shared" si="3"/>
        <v>0</v>
      </c>
      <c r="M25" s="59">
        <f t="shared" si="4"/>
        <v>0</v>
      </c>
      <c r="N25" s="19"/>
    </row>
    <row r="26" spans="1:14" ht="43.5" customHeight="1" x14ac:dyDescent="0.25">
      <c r="A26" s="77"/>
      <c r="B26" s="80" t="s">
        <v>61</v>
      </c>
      <c r="C26" s="2" t="s">
        <v>16</v>
      </c>
      <c r="D26" s="2">
        <v>48</v>
      </c>
      <c r="E26" s="9" t="s">
        <v>70</v>
      </c>
      <c r="F26" s="58">
        <v>0.24</v>
      </c>
      <c r="G26" s="58">
        <v>0.35</v>
      </c>
      <c r="H26" s="10">
        <v>0.3</v>
      </c>
      <c r="I26" s="10">
        <v>0.32</v>
      </c>
      <c r="J26" s="10">
        <f>30.1%+7.2%</f>
        <v>0.373</v>
      </c>
      <c r="K26" s="7">
        <f>35%+17.5%</f>
        <v>0.52499999999999991</v>
      </c>
      <c r="L26" s="75">
        <f t="shared" si="3"/>
        <v>-0.06</v>
      </c>
      <c r="M26" s="59">
        <f t="shared" si="4"/>
        <v>2.9999999999999971E-2</v>
      </c>
      <c r="N26" s="19"/>
    </row>
    <row r="27" spans="1:14" ht="78.75" customHeight="1" x14ac:dyDescent="0.25">
      <c r="A27" s="78"/>
      <c r="B27" s="80"/>
      <c r="C27" s="2" t="s">
        <v>16</v>
      </c>
      <c r="D27" s="2" t="s">
        <v>62</v>
      </c>
      <c r="E27" s="9" t="s">
        <v>163</v>
      </c>
      <c r="F27" s="58">
        <v>0.9</v>
      </c>
      <c r="G27" s="58">
        <v>0.91</v>
      </c>
      <c r="H27" s="7">
        <v>0.78</v>
      </c>
      <c r="I27" s="7">
        <v>0.88</v>
      </c>
      <c r="J27" s="2" t="s">
        <v>66</v>
      </c>
      <c r="K27" s="2" t="s">
        <v>66</v>
      </c>
      <c r="L27" s="75">
        <f t="shared" si="3"/>
        <v>0.12</v>
      </c>
      <c r="M27" s="59">
        <f t="shared" si="4"/>
        <v>3.0000000000000027E-2</v>
      </c>
      <c r="N27" s="19"/>
    </row>
    <row r="28" spans="1:14" ht="30" customHeight="1" x14ac:dyDescent="0.25">
      <c r="A28" s="76" t="s">
        <v>4</v>
      </c>
      <c r="B28" s="80" t="s">
        <v>11</v>
      </c>
      <c r="C28" s="2" t="s">
        <v>10</v>
      </c>
      <c r="D28" s="2">
        <v>48</v>
      </c>
      <c r="E28" s="17" t="s">
        <v>83</v>
      </c>
      <c r="F28" s="56">
        <v>4</v>
      </c>
      <c r="G28" s="56">
        <v>4</v>
      </c>
      <c r="H28" s="2">
        <v>3.9</v>
      </c>
      <c r="I28" s="2">
        <v>4.0999999999999996</v>
      </c>
      <c r="J28" s="2">
        <v>2.74</v>
      </c>
      <c r="K28" s="2">
        <v>3.53</v>
      </c>
      <c r="L28" s="75">
        <f t="shared" si="0"/>
        <v>2.5641025641025772E-2</v>
      </c>
      <c r="M28" s="59">
        <f t="shared" si="1"/>
        <v>-2.4390243902438935E-2</v>
      </c>
      <c r="N28" s="19"/>
    </row>
    <row r="29" spans="1:14" ht="30" customHeight="1" x14ac:dyDescent="0.25">
      <c r="A29" s="77"/>
      <c r="B29" s="80"/>
      <c r="C29" s="2" t="s">
        <v>10</v>
      </c>
      <c r="D29" s="2">
        <v>49</v>
      </c>
      <c r="E29" s="17" t="s">
        <v>84</v>
      </c>
      <c r="F29" s="56">
        <v>2</v>
      </c>
      <c r="G29" s="56">
        <v>3</v>
      </c>
      <c r="H29" s="2">
        <v>2.9</v>
      </c>
      <c r="I29" s="2">
        <v>2.8</v>
      </c>
      <c r="J29" s="2">
        <v>2.54</v>
      </c>
      <c r="K29" s="2">
        <v>2.73</v>
      </c>
      <c r="L29" s="75">
        <f t="shared" si="0"/>
        <v>-0.31034482758620685</v>
      </c>
      <c r="M29" s="59">
        <f t="shared" si="1"/>
        <v>7.1428571428571397E-2</v>
      </c>
      <c r="N29" s="19" t="str">
        <f t="shared" si="2"/>
        <v>Worse</v>
      </c>
    </row>
    <row r="30" spans="1:14" ht="29.25" customHeight="1" x14ac:dyDescent="0.25">
      <c r="A30" s="77"/>
      <c r="B30" s="80"/>
      <c r="C30" s="2" t="s">
        <v>10</v>
      </c>
      <c r="D30" s="2">
        <v>50</v>
      </c>
      <c r="E30" s="17" t="s">
        <v>85</v>
      </c>
      <c r="F30" s="56">
        <v>4</v>
      </c>
      <c r="G30" s="56">
        <v>3</v>
      </c>
      <c r="H30" s="2">
        <v>3.7</v>
      </c>
      <c r="I30" s="2">
        <v>2.7</v>
      </c>
      <c r="J30" s="2">
        <v>2.76</v>
      </c>
      <c r="K30" s="2">
        <v>2.59</v>
      </c>
      <c r="L30" s="75">
        <f t="shared" si="0"/>
        <v>8.1081081081080919E-2</v>
      </c>
      <c r="M30" s="59">
        <f t="shared" si="1"/>
        <v>0.11111111111111094</v>
      </c>
      <c r="N30" s="19"/>
    </row>
    <row r="31" spans="1:14" ht="45" x14ac:dyDescent="0.25">
      <c r="A31" s="77"/>
      <c r="B31" s="80"/>
      <c r="C31" s="2" t="s">
        <v>10</v>
      </c>
      <c r="D31" s="2">
        <v>52</v>
      </c>
      <c r="E31" s="17" t="s">
        <v>86</v>
      </c>
      <c r="F31" s="56">
        <v>3</v>
      </c>
      <c r="G31" s="56">
        <v>2</v>
      </c>
      <c r="H31" s="2">
        <v>2.5</v>
      </c>
      <c r="I31" s="2">
        <v>1.8</v>
      </c>
      <c r="J31" s="2">
        <v>2.36</v>
      </c>
      <c r="K31" s="2">
        <v>1.94</v>
      </c>
      <c r="L31" s="75">
        <f t="shared" si="0"/>
        <v>0.19999999999999996</v>
      </c>
      <c r="M31" s="59">
        <f t="shared" si="1"/>
        <v>0.11111111111111116</v>
      </c>
      <c r="N31" s="19"/>
    </row>
    <row r="32" spans="1:14" ht="45" x14ac:dyDescent="0.25">
      <c r="A32" s="77"/>
      <c r="B32" s="80"/>
      <c r="C32" s="2" t="s">
        <v>10</v>
      </c>
      <c r="D32" s="2">
        <v>53</v>
      </c>
      <c r="E32" s="17" t="s">
        <v>87</v>
      </c>
      <c r="F32" s="56">
        <v>10</v>
      </c>
      <c r="G32" s="56">
        <v>6</v>
      </c>
      <c r="H32" s="2">
        <v>10.199999999999999</v>
      </c>
      <c r="I32" s="2">
        <v>6.6</v>
      </c>
      <c r="J32" s="2">
        <v>7.18</v>
      </c>
      <c r="K32" s="2">
        <v>5.53</v>
      </c>
      <c r="L32" s="75">
        <f t="shared" si="0"/>
        <v>-1.9607843137254832E-2</v>
      </c>
      <c r="M32" s="59">
        <f t="shared" si="1"/>
        <v>-9.0909090909090828E-2</v>
      </c>
      <c r="N32" s="19"/>
    </row>
    <row r="33" spans="1:14" ht="30" x14ac:dyDescent="0.25">
      <c r="A33" s="77"/>
      <c r="B33" s="80"/>
      <c r="C33" s="2" t="s">
        <v>10</v>
      </c>
      <c r="D33" s="2">
        <v>54</v>
      </c>
      <c r="E33" s="17" t="s">
        <v>88</v>
      </c>
      <c r="F33" s="56">
        <v>1</v>
      </c>
      <c r="G33" s="56">
        <v>1</v>
      </c>
      <c r="H33" s="2">
        <v>1.1000000000000001</v>
      </c>
      <c r="I33" s="2">
        <v>0.8</v>
      </c>
      <c r="J33" s="2">
        <v>0.99</v>
      </c>
      <c r="K33" s="2">
        <v>0.63</v>
      </c>
      <c r="L33" s="75">
        <f t="shared" si="0"/>
        <v>-9.0909090909090939E-2</v>
      </c>
      <c r="M33" s="59">
        <f t="shared" si="1"/>
        <v>0.25</v>
      </c>
      <c r="N33" s="19" t="str">
        <f t="shared" si="2"/>
        <v>Worse</v>
      </c>
    </row>
    <row r="34" spans="1:14" ht="30.75" customHeight="1" x14ac:dyDescent="0.25">
      <c r="A34" s="77"/>
      <c r="B34" s="26" t="s">
        <v>20</v>
      </c>
      <c r="C34" s="2" t="s">
        <v>10</v>
      </c>
      <c r="D34" s="2">
        <v>78</v>
      </c>
      <c r="E34" s="17" t="s">
        <v>91</v>
      </c>
      <c r="F34" s="58">
        <v>0.88</v>
      </c>
      <c r="G34" s="58">
        <v>0.84</v>
      </c>
      <c r="H34" s="7">
        <v>0.79</v>
      </c>
      <c r="I34" s="7">
        <v>0.84</v>
      </c>
      <c r="J34" s="7">
        <v>0.85</v>
      </c>
      <c r="K34" s="7">
        <v>0.85</v>
      </c>
      <c r="L34" s="75">
        <f t="shared" ref="L34:L80" si="5">F34-H34</f>
        <v>8.9999999999999969E-2</v>
      </c>
      <c r="M34" s="72">
        <f t="shared" ref="M34:M80" si="6">G34-I34</f>
        <v>0</v>
      </c>
      <c r="N34" s="19"/>
    </row>
    <row r="35" spans="1:14" ht="60" x14ac:dyDescent="0.25">
      <c r="A35" s="78"/>
      <c r="B35" s="26" t="s">
        <v>21</v>
      </c>
      <c r="C35" s="2" t="s">
        <v>16</v>
      </c>
      <c r="D35" s="2">
        <v>49</v>
      </c>
      <c r="E35" s="9" t="s">
        <v>67</v>
      </c>
      <c r="F35" s="58">
        <v>0.9</v>
      </c>
      <c r="G35" s="58">
        <v>0.9</v>
      </c>
      <c r="H35" s="7">
        <v>0.9</v>
      </c>
      <c r="I35" s="7">
        <v>0.87</v>
      </c>
      <c r="J35" s="7">
        <f>34.1%+34.1%</f>
        <v>0.68200000000000005</v>
      </c>
      <c r="K35" s="7">
        <f>36.4%+36.6%</f>
        <v>0.73</v>
      </c>
      <c r="L35" s="75">
        <f t="shared" si="5"/>
        <v>0</v>
      </c>
      <c r="M35" s="72">
        <f t="shared" si="6"/>
        <v>3.0000000000000027E-2</v>
      </c>
      <c r="N35" s="19"/>
    </row>
    <row r="36" spans="1:14" ht="45" x14ac:dyDescent="0.25">
      <c r="A36" s="76" t="s">
        <v>5</v>
      </c>
      <c r="B36" s="79" t="s">
        <v>22</v>
      </c>
      <c r="C36" s="5" t="s">
        <v>10</v>
      </c>
      <c r="D36" s="2">
        <v>19</v>
      </c>
      <c r="E36" s="17" t="s">
        <v>94</v>
      </c>
      <c r="F36" s="58">
        <v>0.55000000000000004</v>
      </c>
      <c r="G36" s="58">
        <v>0.54</v>
      </c>
      <c r="H36" s="7">
        <v>0.44</v>
      </c>
      <c r="I36" s="7">
        <v>0.49</v>
      </c>
      <c r="J36" s="7">
        <v>0.47</v>
      </c>
      <c r="K36" s="7">
        <v>0.43</v>
      </c>
      <c r="L36" s="75">
        <f t="shared" si="5"/>
        <v>0.11000000000000004</v>
      </c>
      <c r="M36" s="72">
        <f t="shared" si="6"/>
        <v>5.0000000000000044E-2</v>
      </c>
      <c r="N36" s="19"/>
    </row>
    <row r="37" spans="1:14" ht="30" x14ac:dyDescent="0.25">
      <c r="A37" s="77"/>
      <c r="B37" s="79"/>
      <c r="C37" s="5" t="s">
        <v>10</v>
      </c>
      <c r="D37" s="2">
        <v>21</v>
      </c>
      <c r="E37" s="17" t="s">
        <v>95</v>
      </c>
      <c r="F37" s="53" t="s">
        <v>66</v>
      </c>
      <c r="G37" s="53">
        <v>0.84</v>
      </c>
      <c r="H37" s="7" t="s">
        <v>66</v>
      </c>
      <c r="I37" s="7">
        <v>0.81</v>
      </c>
      <c r="J37" s="7">
        <v>0.76</v>
      </c>
      <c r="K37" s="7">
        <v>0.82</v>
      </c>
      <c r="L37" s="75" t="s">
        <v>66</v>
      </c>
      <c r="M37" s="72">
        <f t="shared" si="6"/>
        <v>2.9999999999999916E-2</v>
      </c>
      <c r="N37" s="19"/>
    </row>
    <row r="38" spans="1:14" ht="45" customHeight="1" x14ac:dyDescent="0.25">
      <c r="A38" s="77"/>
      <c r="B38" s="79"/>
      <c r="C38" s="5" t="s">
        <v>10</v>
      </c>
      <c r="D38" s="2">
        <v>22</v>
      </c>
      <c r="E38" s="17" t="s">
        <v>96</v>
      </c>
      <c r="F38" s="58">
        <v>0.67</v>
      </c>
      <c r="G38" s="58">
        <v>0.61</v>
      </c>
      <c r="H38" s="7">
        <v>0.56000000000000005</v>
      </c>
      <c r="I38" s="7">
        <v>0.57999999999999996</v>
      </c>
      <c r="J38" s="7">
        <v>0.65</v>
      </c>
      <c r="K38" s="7">
        <v>0.63</v>
      </c>
      <c r="L38" s="75">
        <f t="shared" si="5"/>
        <v>0.10999999999999999</v>
      </c>
      <c r="M38" s="72">
        <f t="shared" si="6"/>
        <v>3.0000000000000027E-2</v>
      </c>
      <c r="N38" s="19"/>
    </row>
    <row r="39" spans="1:14" ht="30" x14ac:dyDescent="0.25">
      <c r="A39" s="77"/>
      <c r="B39" s="79" t="s">
        <v>23</v>
      </c>
      <c r="C39" s="5" t="s">
        <v>16</v>
      </c>
      <c r="D39" s="2">
        <v>35</v>
      </c>
      <c r="E39" s="17" t="s">
        <v>73</v>
      </c>
      <c r="F39" s="58">
        <f>47%+21%</f>
        <v>0.67999999999999994</v>
      </c>
      <c r="G39" s="58">
        <f>63%+22%</f>
        <v>0.85</v>
      </c>
      <c r="H39" s="10">
        <f>44%+23%</f>
        <v>0.67</v>
      </c>
      <c r="I39" s="10">
        <f>60%+21%</f>
        <v>0.80999999999999994</v>
      </c>
      <c r="J39" s="10">
        <f>31.9%+18.1%</f>
        <v>0.5</v>
      </c>
      <c r="K39" s="7">
        <f>59.6%+15.9%</f>
        <v>0.755</v>
      </c>
      <c r="L39" s="75">
        <f t="shared" si="5"/>
        <v>9.9999999999998979E-3</v>
      </c>
      <c r="M39" s="72">
        <f t="shared" si="6"/>
        <v>4.0000000000000036E-2</v>
      </c>
      <c r="N39" s="19"/>
    </row>
    <row r="40" spans="1:14" ht="45" x14ac:dyDescent="0.25">
      <c r="A40" s="77"/>
      <c r="B40" s="79"/>
      <c r="C40" s="5" t="s">
        <v>16</v>
      </c>
      <c r="D40" s="2">
        <v>36</v>
      </c>
      <c r="E40" s="17" t="s">
        <v>74</v>
      </c>
      <c r="F40" s="58">
        <f>32%+16%</f>
        <v>0.48</v>
      </c>
      <c r="G40" s="58">
        <f>38%+15%</f>
        <v>0.53</v>
      </c>
      <c r="H40" s="10">
        <f>35%+13%</f>
        <v>0.48</v>
      </c>
      <c r="I40" s="10">
        <f>36%+14%</f>
        <v>0.5</v>
      </c>
      <c r="J40" s="10">
        <f>31.9%+18.1%</f>
        <v>0.5</v>
      </c>
      <c r="K40" s="7">
        <f>59.6%+15.9%</f>
        <v>0.755</v>
      </c>
      <c r="L40" s="75">
        <f t="shared" si="5"/>
        <v>0</v>
      </c>
      <c r="M40" s="72">
        <f t="shared" si="6"/>
        <v>3.0000000000000027E-2</v>
      </c>
      <c r="N40" s="19"/>
    </row>
    <row r="41" spans="1:14" ht="45" x14ac:dyDescent="0.25">
      <c r="A41" s="78"/>
      <c r="B41" s="25" t="s">
        <v>24</v>
      </c>
      <c r="C41" s="2" t="s">
        <v>16</v>
      </c>
      <c r="D41" s="2">
        <v>37</v>
      </c>
      <c r="E41" s="9" t="s">
        <v>75</v>
      </c>
      <c r="F41" s="58">
        <f>69%+23%</f>
        <v>0.91999999999999993</v>
      </c>
      <c r="G41" s="58">
        <f>66%+23%</f>
        <v>0.89</v>
      </c>
      <c r="H41" s="7">
        <f>64%+25%</f>
        <v>0.89</v>
      </c>
      <c r="I41" s="7">
        <f>66%+22%</f>
        <v>0.88</v>
      </c>
      <c r="J41" s="2" t="s">
        <v>66</v>
      </c>
      <c r="K41" s="2" t="s">
        <v>66</v>
      </c>
      <c r="L41" s="75">
        <f t="shared" si="5"/>
        <v>2.9999999999999916E-2</v>
      </c>
      <c r="M41" s="72">
        <f t="shared" si="6"/>
        <v>1.0000000000000009E-2</v>
      </c>
      <c r="N41" s="19"/>
    </row>
    <row r="42" spans="1:14" ht="45" x14ac:dyDescent="0.25">
      <c r="A42" s="76" t="s">
        <v>6</v>
      </c>
      <c r="B42" s="80" t="s">
        <v>25</v>
      </c>
      <c r="C42" s="5" t="s">
        <v>10</v>
      </c>
      <c r="D42" s="2">
        <v>19</v>
      </c>
      <c r="E42" s="17" t="s">
        <v>94</v>
      </c>
      <c r="F42" s="58">
        <v>0.55000000000000004</v>
      </c>
      <c r="G42" s="58">
        <v>0.54</v>
      </c>
      <c r="H42" s="7">
        <v>0.44</v>
      </c>
      <c r="I42" s="7">
        <v>0.49</v>
      </c>
      <c r="J42" s="7">
        <v>0.47</v>
      </c>
      <c r="K42" s="7">
        <v>0.43</v>
      </c>
      <c r="L42" s="75">
        <f t="shared" si="5"/>
        <v>0.11000000000000004</v>
      </c>
      <c r="M42" s="72">
        <f t="shared" si="6"/>
        <v>5.0000000000000044E-2</v>
      </c>
      <c r="N42" s="19"/>
    </row>
    <row r="43" spans="1:14" ht="45" x14ac:dyDescent="0.25">
      <c r="A43" s="78"/>
      <c r="B43" s="80"/>
      <c r="C43" s="5" t="s">
        <v>10</v>
      </c>
      <c r="D43" s="2">
        <v>20</v>
      </c>
      <c r="E43" s="17" t="s">
        <v>97</v>
      </c>
      <c r="F43" s="58">
        <v>0.59</v>
      </c>
      <c r="G43" s="58">
        <v>0.45</v>
      </c>
      <c r="H43" s="7">
        <v>0.44</v>
      </c>
      <c r="I43" s="7">
        <v>0.43</v>
      </c>
      <c r="J43" s="7">
        <v>0.49</v>
      </c>
      <c r="K43" s="7">
        <v>0.39</v>
      </c>
      <c r="L43" s="75">
        <f t="shared" si="5"/>
        <v>0.14999999999999997</v>
      </c>
      <c r="M43" s="72">
        <f t="shared" si="6"/>
        <v>2.0000000000000018E-2</v>
      </c>
      <c r="N43" s="19" t="str">
        <f t="shared" si="2"/>
        <v>Better</v>
      </c>
    </row>
    <row r="44" spans="1:14" ht="30" x14ac:dyDescent="0.25">
      <c r="A44" s="76" t="s">
        <v>169</v>
      </c>
      <c r="B44" s="25" t="s">
        <v>65</v>
      </c>
      <c r="C44" s="5" t="s">
        <v>10</v>
      </c>
      <c r="D44" s="2">
        <v>101</v>
      </c>
      <c r="E44" s="17" t="s">
        <v>113</v>
      </c>
      <c r="F44" s="58">
        <v>0.89</v>
      </c>
      <c r="G44" s="58">
        <v>0.93</v>
      </c>
      <c r="H44" s="7">
        <v>0.93</v>
      </c>
      <c r="I44" s="7">
        <v>0.93</v>
      </c>
      <c r="J44" s="7">
        <f>AVERAGE(96%,96%,95%)</f>
        <v>0.95666666666666667</v>
      </c>
      <c r="K44" s="7">
        <f>AVERAGE(94%,96%,95%)</f>
        <v>0.94999999999999984</v>
      </c>
      <c r="L44" s="75">
        <f t="shared" si="5"/>
        <v>-4.0000000000000036E-2</v>
      </c>
      <c r="M44" s="72">
        <f t="shared" si="6"/>
        <v>0</v>
      </c>
      <c r="N44" s="19"/>
    </row>
    <row r="45" spans="1:14" ht="30" x14ac:dyDescent="0.25">
      <c r="A45" s="77"/>
      <c r="B45" s="80" t="s">
        <v>170</v>
      </c>
      <c r="C45" s="5" t="s">
        <v>10</v>
      </c>
      <c r="D45" s="2">
        <v>95</v>
      </c>
      <c r="E45" s="17" t="s">
        <v>104</v>
      </c>
      <c r="F45" s="58">
        <v>0.89</v>
      </c>
      <c r="G45" s="58">
        <v>0.89</v>
      </c>
      <c r="H45" s="7">
        <v>0.89</v>
      </c>
      <c r="I45" s="7">
        <v>0.88</v>
      </c>
      <c r="J45" s="7">
        <f>1-12%</f>
        <v>0.88</v>
      </c>
      <c r="K45" s="7">
        <f>1-10%</f>
        <v>0.9</v>
      </c>
      <c r="L45" s="75">
        <f t="shared" si="5"/>
        <v>0</v>
      </c>
      <c r="M45" s="72">
        <f t="shared" si="6"/>
        <v>1.0000000000000009E-2</v>
      </c>
      <c r="N45" s="19"/>
    </row>
    <row r="46" spans="1:14" ht="30" x14ac:dyDescent="0.25">
      <c r="A46" s="77"/>
      <c r="B46" s="80"/>
      <c r="C46" s="5" t="s">
        <v>10</v>
      </c>
      <c r="D46" s="2">
        <v>96</v>
      </c>
      <c r="E46" s="17" t="s">
        <v>105</v>
      </c>
      <c r="F46" s="58">
        <v>0.92</v>
      </c>
      <c r="G46" s="58">
        <v>0.83</v>
      </c>
      <c r="H46" s="7">
        <v>0.85</v>
      </c>
      <c r="I46" s="7">
        <v>0.83</v>
      </c>
      <c r="J46" s="7">
        <f>1-20%</f>
        <v>0.8</v>
      </c>
      <c r="K46" s="7">
        <f>1-15%</f>
        <v>0.85</v>
      </c>
      <c r="L46" s="75">
        <f t="shared" si="5"/>
        <v>7.0000000000000062E-2</v>
      </c>
      <c r="M46" s="72">
        <f t="shared" si="6"/>
        <v>0</v>
      </c>
      <c r="N46" s="19"/>
    </row>
    <row r="47" spans="1:14" x14ac:dyDescent="0.25">
      <c r="A47" s="77"/>
      <c r="B47" s="80"/>
      <c r="C47" s="5" t="s">
        <v>10</v>
      </c>
      <c r="D47" s="2">
        <v>97</v>
      </c>
      <c r="E47" s="17" t="s">
        <v>106</v>
      </c>
      <c r="F47" s="58">
        <v>0.81</v>
      </c>
      <c r="G47" s="58">
        <v>0.78</v>
      </c>
      <c r="H47" s="10">
        <v>0.61</v>
      </c>
      <c r="I47" s="10">
        <v>0.77</v>
      </c>
      <c r="J47" s="10">
        <v>0.8</v>
      </c>
      <c r="K47" s="7">
        <v>0.84</v>
      </c>
      <c r="L47" s="75">
        <f t="shared" si="5"/>
        <v>0.20000000000000007</v>
      </c>
      <c r="M47" s="72">
        <f t="shared" si="6"/>
        <v>1.0000000000000009E-2</v>
      </c>
      <c r="N47" s="19" t="str">
        <f t="shared" si="2"/>
        <v>Better</v>
      </c>
    </row>
    <row r="48" spans="1:14" x14ac:dyDescent="0.25">
      <c r="A48" s="77"/>
      <c r="B48" s="80"/>
      <c r="C48" s="5" t="s">
        <v>10</v>
      </c>
      <c r="D48" s="2">
        <v>98</v>
      </c>
      <c r="E48" s="17" t="s">
        <v>107</v>
      </c>
      <c r="F48" s="58">
        <v>0.92</v>
      </c>
      <c r="G48" s="58">
        <v>0.91</v>
      </c>
      <c r="H48" s="10">
        <v>0.86</v>
      </c>
      <c r="I48" s="7">
        <v>0.91</v>
      </c>
      <c r="J48" s="7">
        <v>0.89</v>
      </c>
      <c r="K48" s="7">
        <v>0.9</v>
      </c>
      <c r="L48" s="75">
        <f t="shared" si="5"/>
        <v>6.0000000000000053E-2</v>
      </c>
      <c r="M48" s="72">
        <f t="shared" si="6"/>
        <v>0</v>
      </c>
      <c r="N48" s="19"/>
    </row>
    <row r="49" spans="1:14" ht="30" x14ac:dyDescent="0.25">
      <c r="A49" s="77"/>
      <c r="B49" s="80"/>
      <c r="C49" s="5" t="s">
        <v>10</v>
      </c>
      <c r="D49" s="2">
        <v>99</v>
      </c>
      <c r="E49" s="17" t="s">
        <v>108</v>
      </c>
      <c r="F49" s="58">
        <v>0.84</v>
      </c>
      <c r="G49" s="58">
        <v>0.87</v>
      </c>
      <c r="H49" s="7">
        <v>0.82</v>
      </c>
      <c r="I49" s="7">
        <v>0.86</v>
      </c>
      <c r="J49" s="7">
        <f>1-29%</f>
        <v>0.71</v>
      </c>
      <c r="K49" s="7">
        <f>1-11%</f>
        <v>0.89</v>
      </c>
      <c r="L49" s="75">
        <f t="shared" si="5"/>
        <v>2.0000000000000018E-2</v>
      </c>
      <c r="M49" s="72">
        <f t="shared" si="6"/>
        <v>1.0000000000000009E-2</v>
      </c>
      <c r="N49" s="19"/>
    </row>
    <row r="50" spans="1:14" ht="30" x14ac:dyDescent="0.25">
      <c r="A50" s="77"/>
      <c r="B50" s="80"/>
      <c r="C50" s="5" t="s">
        <v>10</v>
      </c>
      <c r="D50" s="2">
        <v>100</v>
      </c>
      <c r="E50" s="17" t="s">
        <v>109</v>
      </c>
      <c r="F50" s="58">
        <v>0.96</v>
      </c>
      <c r="G50" s="58">
        <v>0.9</v>
      </c>
      <c r="H50" s="7">
        <v>0.92</v>
      </c>
      <c r="I50" s="7">
        <v>0.89</v>
      </c>
      <c r="J50" s="7">
        <v>0.95</v>
      </c>
      <c r="K50" s="7">
        <v>0.92</v>
      </c>
      <c r="L50" s="75">
        <f t="shared" si="5"/>
        <v>3.9999999999999925E-2</v>
      </c>
      <c r="M50" s="72">
        <f t="shared" si="6"/>
        <v>1.0000000000000009E-2</v>
      </c>
      <c r="N50" s="19"/>
    </row>
    <row r="51" spans="1:14" ht="30" x14ac:dyDescent="0.25">
      <c r="A51" s="77"/>
      <c r="B51" s="80" t="s">
        <v>26</v>
      </c>
      <c r="C51" s="2" t="s">
        <v>10</v>
      </c>
      <c r="D51" s="2">
        <v>103</v>
      </c>
      <c r="E51" s="17" t="s">
        <v>171</v>
      </c>
      <c r="F51" s="58">
        <v>0.87</v>
      </c>
      <c r="G51" s="58">
        <v>0.83</v>
      </c>
      <c r="H51" s="7">
        <v>0.82</v>
      </c>
      <c r="I51" s="7">
        <v>0.82</v>
      </c>
      <c r="J51" s="7">
        <v>0.86</v>
      </c>
      <c r="K51" s="7">
        <v>0.83</v>
      </c>
      <c r="L51" s="75">
        <f t="shared" si="5"/>
        <v>5.0000000000000044E-2</v>
      </c>
      <c r="M51" s="72">
        <f t="shared" si="6"/>
        <v>1.0000000000000009E-2</v>
      </c>
      <c r="N51" s="19"/>
    </row>
    <row r="52" spans="1:14" ht="30" x14ac:dyDescent="0.25">
      <c r="A52" s="77"/>
      <c r="B52" s="80"/>
      <c r="C52" s="2" t="s">
        <v>10</v>
      </c>
      <c r="D52" s="2">
        <v>104</v>
      </c>
      <c r="E52" s="17" t="s">
        <v>110</v>
      </c>
      <c r="F52" s="58">
        <v>0.84</v>
      </c>
      <c r="G52" s="58">
        <v>0.85</v>
      </c>
      <c r="H52" s="7">
        <v>0.78</v>
      </c>
      <c r="I52" s="7">
        <v>0.83</v>
      </c>
      <c r="J52" s="7">
        <v>0.83</v>
      </c>
      <c r="K52" s="7">
        <v>0.86</v>
      </c>
      <c r="L52" s="75">
        <f t="shared" si="5"/>
        <v>5.9999999999999942E-2</v>
      </c>
      <c r="M52" s="72">
        <f t="shared" si="6"/>
        <v>2.0000000000000018E-2</v>
      </c>
      <c r="N52" s="19"/>
    </row>
    <row r="53" spans="1:14" ht="30" x14ac:dyDescent="0.25">
      <c r="A53" s="77"/>
      <c r="B53" s="80"/>
      <c r="C53" s="2" t="s">
        <v>10</v>
      </c>
      <c r="D53" s="2">
        <v>105</v>
      </c>
      <c r="E53" s="17" t="s">
        <v>111</v>
      </c>
      <c r="F53" s="58">
        <v>0.88</v>
      </c>
      <c r="G53" s="58">
        <v>0.89</v>
      </c>
      <c r="H53" s="7">
        <v>0.89</v>
      </c>
      <c r="I53" s="7">
        <v>0.86</v>
      </c>
      <c r="J53" s="7">
        <v>0.92</v>
      </c>
      <c r="K53" s="7">
        <v>0.89</v>
      </c>
      <c r="L53" s="75">
        <f t="shared" si="5"/>
        <v>-1.0000000000000009E-2</v>
      </c>
      <c r="M53" s="72">
        <f t="shared" si="6"/>
        <v>3.0000000000000027E-2</v>
      </c>
      <c r="N53" s="19"/>
    </row>
    <row r="54" spans="1:14" ht="30" x14ac:dyDescent="0.25">
      <c r="A54" s="77"/>
      <c r="B54" s="80"/>
      <c r="C54" s="2" t="s">
        <v>10</v>
      </c>
      <c r="D54" s="2">
        <v>106</v>
      </c>
      <c r="E54" s="17" t="s">
        <v>112</v>
      </c>
      <c r="F54" s="58">
        <v>0.9</v>
      </c>
      <c r="G54" s="58">
        <v>0.93</v>
      </c>
      <c r="H54" s="7">
        <v>0.92</v>
      </c>
      <c r="I54" s="7">
        <v>0.93</v>
      </c>
      <c r="J54" s="7">
        <v>0.9</v>
      </c>
      <c r="K54" s="7">
        <v>0.91</v>
      </c>
      <c r="L54" s="75">
        <f t="shared" si="5"/>
        <v>-2.0000000000000018E-2</v>
      </c>
      <c r="M54" s="72">
        <f t="shared" si="6"/>
        <v>0</v>
      </c>
      <c r="N54" s="19"/>
    </row>
    <row r="55" spans="1:14" ht="45" x14ac:dyDescent="0.25">
      <c r="A55" s="77"/>
      <c r="B55" s="25" t="s">
        <v>27</v>
      </c>
      <c r="C55" s="2" t="s">
        <v>16</v>
      </c>
      <c r="D55" s="2">
        <v>53</v>
      </c>
      <c r="E55" s="9" t="s">
        <v>76</v>
      </c>
      <c r="F55" s="58">
        <v>0.62</v>
      </c>
      <c r="G55" s="58">
        <v>0.65</v>
      </c>
      <c r="H55" s="7">
        <v>0.51</v>
      </c>
      <c r="I55" s="7">
        <v>0.56999999999999995</v>
      </c>
      <c r="J55" s="7">
        <f>52.4%</f>
        <v>0.52400000000000002</v>
      </c>
      <c r="K55" s="7">
        <f>70%</f>
        <v>0.7</v>
      </c>
      <c r="L55" s="75">
        <f t="shared" si="5"/>
        <v>0.10999999999999999</v>
      </c>
      <c r="M55" s="72">
        <f t="shared" si="6"/>
        <v>8.0000000000000071E-2</v>
      </c>
      <c r="N55" s="19"/>
    </row>
    <row r="56" spans="1:14" ht="60" x14ac:dyDescent="0.25">
      <c r="A56" s="77"/>
      <c r="B56" s="25" t="s">
        <v>28</v>
      </c>
      <c r="C56" s="2" t="s">
        <v>16</v>
      </c>
      <c r="D56" s="2">
        <v>54</v>
      </c>
      <c r="E56" s="9" t="s">
        <v>28</v>
      </c>
      <c r="F56" s="58">
        <v>0.76</v>
      </c>
      <c r="G56" s="58">
        <v>0.83</v>
      </c>
      <c r="H56" s="7">
        <v>0.75</v>
      </c>
      <c r="I56" s="7">
        <v>0.81</v>
      </c>
      <c r="J56" s="7">
        <f>50%</f>
        <v>0.5</v>
      </c>
      <c r="K56" s="7">
        <v>0.65400000000000003</v>
      </c>
      <c r="L56" s="75">
        <f t="shared" si="5"/>
        <v>1.0000000000000009E-2</v>
      </c>
      <c r="M56" s="72">
        <f t="shared" si="6"/>
        <v>1.9999999999999907E-2</v>
      </c>
      <c r="N56" s="19"/>
    </row>
    <row r="57" spans="1:14" ht="30" x14ac:dyDescent="0.25">
      <c r="A57" s="77"/>
      <c r="B57" s="27" t="s">
        <v>29</v>
      </c>
      <c r="C57" s="2" t="s">
        <v>16</v>
      </c>
      <c r="D57" s="2">
        <v>55</v>
      </c>
      <c r="E57" s="9" t="s">
        <v>29</v>
      </c>
      <c r="F57" s="58">
        <v>0.88</v>
      </c>
      <c r="G57" s="58">
        <v>0.82</v>
      </c>
      <c r="H57" s="7">
        <v>0.79</v>
      </c>
      <c r="I57" s="7">
        <v>0.78</v>
      </c>
      <c r="J57" s="2" t="s">
        <v>66</v>
      </c>
      <c r="K57" s="2" t="s">
        <v>66</v>
      </c>
      <c r="L57" s="75">
        <f t="shared" si="5"/>
        <v>8.9999999999999969E-2</v>
      </c>
      <c r="M57" s="72">
        <f t="shared" si="6"/>
        <v>3.9999999999999925E-2</v>
      </c>
      <c r="N57" s="19"/>
    </row>
    <row r="58" spans="1:14" ht="60" x14ac:dyDescent="0.25">
      <c r="A58" s="78"/>
      <c r="B58" s="25" t="s">
        <v>30</v>
      </c>
      <c r="C58" s="2" t="s">
        <v>16</v>
      </c>
      <c r="D58" s="2">
        <v>56</v>
      </c>
      <c r="E58" s="9" t="s">
        <v>77</v>
      </c>
      <c r="F58" s="58">
        <v>0.44</v>
      </c>
      <c r="G58" s="58">
        <v>0.36</v>
      </c>
      <c r="H58" s="7">
        <v>0.31</v>
      </c>
      <c r="I58" s="7">
        <v>0.4</v>
      </c>
      <c r="J58" s="2" t="s">
        <v>66</v>
      </c>
      <c r="K58" s="2" t="s">
        <v>66</v>
      </c>
      <c r="L58" s="75">
        <f t="shared" si="5"/>
        <v>0.13</v>
      </c>
      <c r="M58" s="72">
        <f t="shared" si="6"/>
        <v>-4.0000000000000036E-2</v>
      </c>
      <c r="N58" s="19" t="str">
        <f t="shared" si="2"/>
        <v>Better</v>
      </c>
    </row>
    <row r="59" spans="1:14" ht="45" x14ac:dyDescent="0.25">
      <c r="A59" s="76" t="s">
        <v>7</v>
      </c>
      <c r="B59" s="79" t="s">
        <v>31</v>
      </c>
      <c r="C59" s="5" t="s">
        <v>10</v>
      </c>
      <c r="D59" s="2">
        <v>19</v>
      </c>
      <c r="E59" s="17" t="s">
        <v>94</v>
      </c>
      <c r="F59" s="58">
        <v>0.55000000000000004</v>
      </c>
      <c r="G59" s="58">
        <v>0.54</v>
      </c>
      <c r="H59" s="7">
        <v>0.44</v>
      </c>
      <c r="I59" s="7">
        <v>0.49</v>
      </c>
      <c r="J59" s="7">
        <v>0.47</v>
      </c>
      <c r="K59" s="7">
        <v>0.43</v>
      </c>
      <c r="L59" s="75">
        <f t="shared" si="5"/>
        <v>0.11000000000000004</v>
      </c>
      <c r="M59" s="72">
        <f t="shared" si="6"/>
        <v>5.0000000000000044E-2</v>
      </c>
      <c r="N59" s="19"/>
    </row>
    <row r="60" spans="1:14" ht="45" x14ac:dyDescent="0.25">
      <c r="A60" s="77"/>
      <c r="B60" s="79"/>
      <c r="C60" s="5" t="s">
        <v>10</v>
      </c>
      <c r="D60" s="2">
        <v>20</v>
      </c>
      <c r="E60" s="17" t="s">
        <v>97</v>
      </c>
      <c r="F60" s="58">
        <v>0.59</v>
      </c>
      <c r="G60" s="58">
        <v>0.45</v>
      </c>
      <c r="H60" s="7">
        <v>0.44</v>
      </c>
      <c r="I60" s="7">
        <v>0.43</v>
      </c>
      <c r="J60" s="7">
        <v>0.49</v>
      </c>
      <c r="K60" s="7">
        <v>0.39</v>
      </c>
      <c r="L60" s="75">
        <f t="shared" si="5"/>
        <v>0.14999999999999997</v>
      </c>
      <c r="M60" s="72">
        <f t="shared" si="6"/>
        <v>2.0000000000000018E-2</v>
      </c>
      <c r="N60" s="19" t="str">
        <f t="shared" si="2"/>
        <v>Better</v>
      </c>
    </row>
    <row r="61" spans="1:14" ht="30" x14ac:dyDescent="0.25">
      <c r="A61" s="77"/>
      <c r="B61" s="79"/>
      <c r="C61" s="5" t="s">
        <v>10</v>
      </c>
      <c r="D61" s="2">
        <v>21</v>
      </c>
      <c r="E61" s="17" t="s">
        <v>95</v>
      </c>
      <c r="F61" s="53" t="s">
        <v>66</v>
      </c>
      <c r="G61" s="53">
        <v>0.84</v>
      </c>
      <c r="H61" s="7" t="s">
        <v>66</v>
      </c>
      <c r="I61" s="7">
        <v>0.81</v>
      </c>
      <c r="J61" s="7">
        <v>0.76</v>
      </c>
      <c r="K61" s="7">
        <v>0.82</v>
      </c>
      <c r="L61" s="75" t="s">
        <v>66</v>
      </c>
      <c r="M61" s="72">
        <f t="shared" si="6"/>
        <v>2.9999999999999916E-2</v>
      </c>
      <c r="N61" s="19"/>
    </row>
    <row r="62" spans="1:14" ht="46.5" customHeight="1" x14ac:dyDescent="0.25">
      <c r="A62" s="77"/>
      <c r="B62" s="79"/>
      <c r="C62" s="5" t="s">
        <v>10</v>
      </c>
      <c r="D62" s="2">
        <v>22</v>
      </c>
      <c r="E62" s="17" t="s">
        <v>96</v>
      </c>
      <c r="F62" s="58">
        <v>0.67</v>
      </c>
      <c r="G62" s="58">
        <v>0.61</v>
      </c>
      <c r="H62" s="7">
        <v>0.56000000000000005</v>
      </c>
      <c r="I62" s="7">
        <v>0.57999999999999996</v>
      </c>
      <c r="J62" s="7">
        <v>0.65</v>
      </c>
      <c r="K62" s="7">
        <v>0.63</v>
      </c>
      <c r="L62" s="75">
        <f t="shared" si="5"/>
        <v>0.10999999999999999</v>
      </c>
      <c r="M62" s="72">
        <f t="shared" si="6"/>
        <v>3.0000000000000027E-2</v>
      </c>
      <c r="N62" s="19"/>
    </row>
    <row r="63" spans="1:14" ht="60" x14ac:dyDescent="0.25">
      <c r="A63" s="77"/>
      <c r="B63" s="79"/>
      <c r="C63" s="5" t="s">
        <v>10</v>
      </c>
      <c r="D63" s="2">
        <v>23</v>
      </c>
      <c r="E63" s="17" t="s">
        <v>98</v>
      </c>
      <c r="F63" s="58">
        <v>0.72</v>
      </c>
      <c r="G63" s="58">
        <v>0.66</v>
      </c>
      <c r="H63" s="7">
        <v>0.61</v>
      </c>
      <c r="I63" s="7">
        <v>0.64</v>
      </c>
      <c r="J63" s="7">
        <f>AVERAGE(64%,55%,59%)</f>
        <v>0.59333333333333327</v>
      </c>
      <c r="K63" s="7">
        <f>AVERAGE(63%,63%,60%)</f>
        <v>0.62</v>
      </c>
      <c r="L63" s="75">
        <f t="shared" si="5"/>
        <v>0.10999999999999999</v>
      </c>
      <c r="M63" s="72">
        <f t="shared" si="6"/>
        <v>2.0000000000000018E-2</v>
      </c>
      <c r="N63" s="19"/>
    </row>
    <row r="64" spans="1:14" ht="30" x14ac:dyDescent="0.25">
      <c r="A64" s="77"/>
      <c r="B64" s="79"/>
      <c r="C64" s="5" t="s">
        <v>10</v>
      </c>
      <c r="D64" s="2">
        <v>24</v>
      </c>
      <c r="E64" s="17" t="s">
        <v>99</v>
      </c>
      <c r="F64" s="58">
        <v>0.87</v>
      </c>
      <c r="G64" s="58">
        <v>0.82</v>
      </c>
      <c r="H64" s="7">
        <v>0.71</v>
      </c>
      <c r="I64" s="7">
        <v>0.81</v>
      </c>
      <c r="J64" s="7">
        <v>0.65</v>
      </c>
      <c r="K64" s="7">
        <v>0.82</v>
      </c>
      <c r="L64" s="75">
        <f t="shared" si="5"/>
        <v>0.16000000000000003</v>
      </c>
      <c r="M64" s="72">
        <f t="shared" si="6"/>
        <v>9.9999999999998979E-3</v>
      </c>
      <c r="N64" s="19" t="str">
        <f t="shared" si="2"/>
        <v>Better</v>
      </c>
    </row>
    <row r="65" spans="1:14" ht="30" x14ac:dyDescent="0.25">
      <c r="A65" s="77"/>
      <c r="B65" s="79"/>
      <c r="C65" s="5" t="s">
        <v>10</v>
      </c>
      <c r="D65" s="2">
        <v>25</v>
      </c>
      <c r="E65" s="17" t="s">
        <v>100</v>
      </c>
      <c r="F65" s="58">
        <v>0.86</v>
      </c>
      <c r="G65" s="58">
        <v>0.91</v>
      </c>
      <c r="H65" s="7">
        <v>0.77</v>
      </c>
      <c r="I65" s="7">
        <v>0.89</v>
      </c>
      <c r="J65" s="7">
        <v>0.72</v>
      </c>
      <c r="K65" s="7">
        <v>0.9</v>
      </c>
      <c r="L65" s="75">
        <f t="shared" si="5"/>
        <v>8.9999999999999969E-2</v>
      </c>
      <c r="M65" s="72">
        <f t="shared" si="6"/>
        <v>2.0000000000000018E-2</v>
      </c>
      <c r="N65" s="19"/>
    </row>
    <row r="66" spans="1:14" ht="30" x14ac:dyDescent="0.25">
      <c r="A66" s="77"/>
      <c r="B66" s="79"/>
      <c r="C66" s="5" t="s">
        <v>10</v>
      </c>
      <c r="D66" s="2">
        <v>26</v>
      </c>
      <c r="E66" s="17" t="s">
        <v>93</v>
      </c>
      <c r="F66" s="58">
        <v>0.82</v>
      </c>
      <c r="G66" s="58">
        <v>0.86</v>
      </c>
      <c r="H66" s="7">
        <v>0.85</v>
      </c>
      <c r="I66" s="7">
        <v>0.86</v>
      </c>
      <c r="J66" s="7">
        <v>0.79</v>
      </c>
      <c r="K66" s="7">
        <v>0.88</v>
      </c>
      <c r="L66" s="75">
        <f t="shared" si="5"/>
        <v>-3.0000000000000027E-2</v>
      </c>
      <c r="M66" s="72">
        <f t="shared" si="6"/>
        <v>0</v>
      </c>
      <c r="N66" s="19"/>
    </row>
    <row r="67" spans="1:14" ht="45" x14ac:dyDescent="0.25">
      <c r="A67" s="77"/>
      <c r="B67" s="79" t="s">
        <v>32</v>
      </c>
      <c r="C67" s="5" t="s">
        <v>16</v>
      </c>
      <c r="D67" s="2">
        <v>38</v>
      </c>
      <c r="E67" s="17" t="s">
        <v>78</v>
      </c>
      <c r="F67" s="58">
        <f>46%+18%</f>
        <v>0.64</v>
      </c>
      <c r="G67" s="58">
        <f>45%+15%</f>
        <v>0.6</v>
      </c>
      <c r="H67" s="10">
        <f>39%+18%</f>
        <v>0.57000000000000006</v>
      </c>
      <c r="I67" s="10">
        <f>45%+15%</f>
        <v>0.6</v>
      </c>
      <c r="J67" s="81">
        <f>26.7%+17.2%</f>
        <v>0.439</v>
      </c>
      <c r="K67" s="82">
        <f>43.9%+17.9%</f>
        <v>0.61799999999999999</v>
      </c>
      <c r="L67" s="75">
        <f t="shared" si="5"/>
        <v>6.9999999999999951E-2</v>
      </c>
      <c r="M67" s="72">
        <f t="shared" si="6"/>
        <v>0</v>
      </c>
      <c r="N67" s="19"/>
    </row>
    <row r="68" spans="1:14" ht="45" x14ac:dyDescent="0.25">
      <c r="A68" s="77"/>
      <c r="B68" s="79"/>
      <c r="C68" s="5" t="s">
        <v>16</v>
      </c>
      <c r="D68" s="2">
        <v>39</v>
      </c>
      <c r="E68" s="17" t="s">
        <v>79</v>
      </c>
      <c r="F68" s="58">
        <f>42%+13%</f>
        <v>0.55000000000000004</v>
      </c>
      <c r="G68" s="58">
        <f>31%+12%</f>
        <v>0.43</v>
      </c>
      <c r="H68" s="10">
        <f>30%+14%</f>
        <v>0.44</v>
      </c>
      <c r="I68" s="10">
        <f>31%+12%</f>
        <v>0.43</v>
      </c>
      <c r="J68" s="81"/>
      <c r="K68" s="82"/>
      <c r="L68" s="75">
        <f t="shared" si="5"/>
        <v>0.11000000000000004</v>
      </c>
      <c r="M68" s="72">
        <f t="shared" si="6"/>
        <v>0</v>
      </c>
      <c r="N68" s="19" t="str">
        <f t="shared" si="2"/>
        <v>Better</v>
      </c>
    </row>
    <row r="69" spans="1:14" ht="45" x14ac:dyDescent="0.25">
      <c r="A69" s="78"/>
      <c r="B69" s="25" t="s">
        <v>33</v>
      </c>
      <c r="C69" s="5" t="s">
        <v>16</v>
      </c>
      <c r="D69" s="2">
        <v>40</v>
      </c>
      <c r="E69" s="9" t="s">
        <v>80</v>
      </c>
      <c r="F69" s="58">
        <f>61%+29%</f>
        <v>0.89999999999999991</v>
      </c>
      <c r="G69" s="58">
        <f>61%+21%</f>
        <v>0.82</v>
      </c>
      <c r="H69" s="10">
        <f>61%+26%</f>
        <v>0.87</v>
      </c>
      <c r="I69" s="10">
        <f>62%+21%</f>
        <v>0.83</v>
      </c>
      <c r="J69" s="64" t="s">
        <v>66</v>
      </c>
      <c r="K69" s="2" t="s">
        <v>66</v>
      </c>
      <c r="L69" s="75">
        <f t="shared" si="5"/>
        <v>2.9999999999999916E-2</v>
      </c>
      <c r="M69" s="72">
        <f t="shared" si="6"/>
        <v>-1.0000000000000009E-2</v>
      </c>
      <c r="N69" s="19"/>
    </row>
    <row r="70" spans="1:14" ht="19.5" customHeight="1" x14ac:dyDescent="0.25">
      <c r="A70" s="76" t="s">
        <v>8</v>
      </c>
      <c r="B70" s="27" t="s">
        <v>34</v>
      </c>
      <c r="C70" s="5" t="s">
        <v>10</v>
      </c>
      <c r="D70" s="2">
        <v>64</v>
      </c>
      <c r="E70" s="9" t="s">
        <v>101</v>
      </c>
      <c r="F70" s="58">
        <v>0.3</v>
      </c>
      <c r="G70" s="58">
        <v>0.26</v>
      </c>
      <c r="H70" s="10">
        <v>0.36</v>
      </c>
      <c r="I70" s="10">
        <v>0.26</v>
      </c>
      <c r="J70" s="10">
        <v>0.3</v>
      </c>
      <c r="K70" s="7">
        <v>0.27</v>
      </c>
      <c r="L70" s="75">
        <f t="shared" si="5"/>
        <v>-0.06</v>
      </c>
      <c r="M70" s="72">
        <f t="shared" si="6"/>
        <v>0</v>
      </c>
      <c r="N70" s="19"/>
    </row>
    <row r="71" spans="1:14" ht="45" x14ac:dyDescent="0.25">
      <c r="A71" s="77"/>
      <c r="B71" s="25" t="s">
        <v>35</v>
      </c>
      <c r="C71" s="5" t="s">
        <v>10</v>
      </c>
      <c r="D71" s="2">
        <v>69</v>
      </c>
      <c r="E71" s="9" t="s">
        <v>102</v>
      </c>
      <c r="F71" s="58">
        <v>0.39</v>
      </c>
      <c r="G71" s="58">
        <v>0.31</v>
      </c>
      <c r="H71" s="10">
        <v>0.38</v>
      </c>
      <c r="I71" s="10">
        <v>0.34</v>
      </c>
      <c r="J71" s="10">
        <v>0.41</v>
      </c>
      <c r="K71" s="7">
        <v>0.34</v>
      </c>
      <c r="L71" s="75">
        <f t="shared" si="5"/>
        <v>1.0000000000000009E-2</v>
      </c>
      <c r="M71" s="72">
        <f t="shared" si="6"/>
        <v>-3.0000000000000027E-2</v>
      </c>
      <c r="N71" s="19"/>
    </row>
    <row r="72" spans="1:14" ht="45" x14ac:dyDescent="0.25">
      <c r="A72" s="77"/>
      <c r="B72" s="25" t="s">
        <v>36</v>
      </c>
      <c r="C72" s="5" t="s">
        <v>10</v>
      </c>
      <c r="D72" s="2">
        <v>29</v>
      </c>
      <c r="E72" s="9" t="s">
        <v>103</v>
      </c>
      <c r="F72" s="58">
        <v>0.72</v>
      </c>
      <c r="G72" s="58">
        <v>0.67</v>
      </c>
      <c r="H72" s="10">
        <v>0.46</v>
      </c>
      <c r="I72" s="10">
        <v>0.63</v>
      </c>
      <c r="J72" s="10">
        <v>0.47</v>
      </c>
      <c r="K72" s="7">
        <v>0.57999999999999996</v>
      </c>
      <c r="L72" s="75">
        <f t="shared" si="5"/>
        <v>0.25999999999999995</v>
      </c>
      <c r="M72" s="72">
        <f t="shared" si="6"/>
        <v>4.0000000000000036E-2</v>
      </c>
      <c r="N72" s="19" t="str">
        <f t="shared" si="2"/>
        <v>Better</v>
      </c>
    </row>
    <row r="73" spans="1:14" ht="60" x14ac:dyDescent="0.25">
      <c r="A73" s="77"/>
      <c r="B73" s="25" t="s">
        <v>37</v>
      </c>
      <c r="C73" s="5" t="s">
        <v>10</v>
      </c>
      <c r="D73" s="2">
        <v>23</v>
      </c>
      <c r="E73" s="9" t="s">
        <v>98</v>
      </c>
      <c r="F73" s="58">
        <v>0.72</v>
      </c>
      <c r="G73" s="58">
        <v>0.66</v>
      </c>
      <c r="H73" s="7">
        <v>0.61</v>
      </c>
      <c r="I73" s="7">
        <v>0.64</v>
      </c>
      <c r="J73" s="7">
        <f>AVERAGE(64%,55%,59%)</f>
        <v>0.59333333333333327</v>
      </c>
      <c r="K73" s="7">
        <f>AVERAGE(63%,63%,60%)</f>
        <v>0.62</v>
      </c>
      <c r="L73" s="75">
        <f t="shared" si="5"/>
        <v>0.10999999999999999</v>
      </c>
      <c r="M73" s="72">
        <f t="shared" si="6"/>
        <v>2.0000000000000018E-2</v>
      </c>
      <c r="N73" s="19"/>
    </row>
    <row r="74" spans="1:14" ht="60" x14ac:dyDescent="0.25">
      <c r="A74" s="77"/>
      <c r="B74" s="26" t="s">
        <v>38</v>
      </c>
      <c r="C74" s="5" t="s">
        <v>10</v>
      </c>
      <c r="D74" s="2">
        <v>23</v>
      </c>
      <c r="E74" s="9" t="s">
        <v>98</v>
      </c>
      <c r="F74" s="58">
        <v>0.72</v>
      </c>
      <c r="G74" s="58">
        <v>0.66</v>
      </c>
      <c r="H74" s="7">
        <v>0.61</v>
      </c>
      <c r="I74" s="7">
        <v>0.64</v>
      </c>
      <c r="J74" s="7">
        <f>AVERAGE(64%,55%,59%)</f>
        <v>0.59333333333333327</v>
      </c>
      <c r="K74" s="7">
        <f>AVERAGE(63%,63%,60%)</f>
        <v>0.62</v>
      </c>
      <c r="L74" s="75">
        <f t="shared" si="5"/>
        <v>0.10999999999999999</v>
      </c>
      <c r="M74" s="72">
        <f t="shared" si="6"/>
        <v>2.0000000000000018E-2</v>
      </c>
      <c r="N74" s="19"/>
    </row>
    <row r="75" spans="1:14" ht="45" x14ac:dyDescent="0.25">
      <c r="A75" s="77"/>
      <c r="B75" s="26" t="s">
        <v>39</v>
      </c>
      <c r="C75" s="5" t="s">
        <v>16</v>
      </c>
      <c r="D75" s="2">
        <v>36</v>
      </c>
      <c r="E75" s="9" t="s">
        <v>74</v>
      </c>
      <c r="F75" s="58">
        <f>32%+16%</f>
        <v>0.48</v>
      </c>
      <c r="G75" s="58">
        <f>38%+15%</f>
        <v>0.53</v>
      </c>
      <c r="H75" s="7">
        <f>35%+13%</f>
        <v>0.48</v>
      </c>
      <c r="I75" s="7">
        <f>36%+14%</f>
        <v>0.5</v>
      </c>
      <c r="J75" s="10">
        <f>31.9%+18.1%</f>
        <v>0.5</v>
      </c>
      <c r="K75" s="7">
        <f>59.6%+15.9%</f>
        <v>0.755</v>
      </c>
      <c r="L75" s="75">
        <f t="shared" si="5"/>
        <v>0</v>
      </c>
      <c r="M75" s="72">
        <f t="shared" si="6"/>
        <v>3.0000000000000027E-2</v>
      </c>
      <c r="N75" s="19"/>
    </row>
    <row r="76" spans="1:14" ht="30" x14ac:dyDescent="0.25">
      <c r="A76" s="77"/>
      <c r="B76" s="26" t="s">
        <v>40</v>
      </c>
      <c r="C76" s="5" t="s">
        <v>16</v>
      </c>
      <c r="D76" s="2">
        <v>37</v>
      </c>
      <c r="E76" s="9" t="s">
        <v>75</v>
      </c>
      <c r="F76" s="58">
        <f>69%+23%</f>
        <v>0.91999999999999993</v>
      </c>
      <c r="G76" s="58">
        <f>66%+23%</f>
        <v>0.89</v>
      </c>
      <c r="H76" s="7">
        <f>64%+25%</f>
        <v>0.89</v>
      </c>
      <c r="I76" s="7">
        <f>66%+22%</f>
        <v>0.88</v>
      </c>
      <c r="J76" s="64" t="s">
        <v>66</v>
      </c>
      <c r="K76" s="2" t="s">
        <v>66</v>
      </c>
      <c r="L76" s="75">
        <f t="shared" si="5"/>
        <v>2.9999999999999916E-2</v>
      </c>
      <c r="M76" s="72">
        <f t="shared" si="6"/>
        <v>1.0000000000000009E-2</v>
      </c>
      <c r="N76" s="19"/>
    </row>
    <row r="77" spans="1:14" ht="45" x14ac:dyDescent="0.25">
      <c r="A77" s="77"/>
      <c r="B77" s="26" t="s">
        <v>41</v>
      </c>
      <c r="C77" s="5" t="s">
        <v>16</v>
      </c>
      <c r="D77" s="2">
        <v>39</v>
      </c>
      <c r="E77" s="17" t="s">
        <v>79</v>
      </c>
      <c r="F77" s="58">
        <f>42%+13%</f>
        <v>0.55000000000000004</v>
      </c>
      <c r="G77" s="58">
        <f>31%+12%</f>
        <v>0.43</v>
      </c>
      <c r="H77" s="7">
        <f>30%+14%</f>
        <v>0.44</v>
      </c>
      <c r="I77" s="7">
        <f>31%+12%</f>
        <v>0.43</v>
      </c>
      <c r="J77" s="10">
        <f>26.7%+17.2%</f>
        <v>0.439</v>
      </c>
      <c r="K77" s="7">
        <f>43.9%+17.9%</f>
        <v>0.61799999999999999</v>
      </c>
      <c r="L77" s="75">
        <f t="shared" si="5"/>
        <v>0.11000000000000004</v>
      </c>
      <c r="M77" s="72">
        <f t="shared" si="6"/>
        <v>0</v>
      </c>
      <c r="N77" s="19" t="str">
        <f t="shared" ref="N77" si="7">IF(L77&gt;(M77+0.1),"Better","Worse")</f>
        <v>Better</v>
      </c>
    </row>
    <row r="78" spans="1:14" ht="30" x14ac:dyDescent="0.25">
      <c r="A78" s="77"/>
      <c r="B78" s="26" t="s">
        <v>42</v>
      </c>
      <c r="C78" s="5" t="s">
        <v>16</v>
      </c>
      <c r="D78" s="2">
        <v>40</v>
      </c>
      <c r="E78" s="9" t="s">
        <v>80</v>
      </c>
      <c r="F78" s="58">
        <f>61%+29%</f>
        <v>0.89999999999999991</v>
      </c>
      <c r="G78" s="58">
        <f>61%+21%</f>
        <v>0.82</v>
      </c>
      <c r="H78" s="7">
        <f>61%+26%</f>
        <v>0.87</v>
      </c>
      <c r="I78" s="7">
        <f>62%+21%</f>
        <v>0.83</v>
      </c>
      <c r="J78" s="64" t="s">
        <v>66</v>
      </c>
      <c r="K78" s="2" t="s">
        <v>66</v>
      </c>
      <c r="L78" s="75">
        <f t="shared" si="5"/>
        <v>2.9999999999999916E-2</v>
      </c>
      <c r="M78" s="72">
        <f t="shared" si="6"/>
        <v>-1.0000000000000009E-2</v>
      </c>
      <c r="N78" s="19"/>
    </row>
    <row r="79" spans="1:14" ht="45" x14ac:dyDescent="0.25">
      <c r="A79" s="77"/>
      <c r="B79" s="26" t="s">
        <v>43</v>
      </c>
      <c r="C79" s="5" t="s">
        <v>16</v>
      </c>
      <c r="D79" s="2">
        <v>42</v>
      </c>
      <c r="E79" s="9" t="s">
        <v>172</v>
      </c>
      <c r="F79" s="58">
        <v>0.2</v>
      </c>
      <c r="G79" s="58">
        <v>0.18</v>
      </c>
      <c r="H79" s="7">
        <v>0.15</v>
      </c>
      <c r="I79" s="7">
        <v>0.16</v>
      </c>
      <c r="J79" s="10">
        <f>20.4%+2.9%</f>
        <v>0.23299999999999998</v>
      </c>
      <c r="K79" s="7">
        <f>32.9%+6.4%</f>
        <v>0.39299999999999996</v>
      </c>
      <c r="L79" s="75">
        <f t="shared" si="5"/>
        <v>5.0000000000000017E-2</v>
      </c>
      <c r="M79" s="72">
        <f t="shared" si="6"/>
        <v>1.999999999999999E-2</v>
      </c>
      <c r="N79" s="19"/>
    </row>
    <row r="80" spans="1:14" ht="60" x14ac:dyDescent="0.25">
      <c r="A80" s="78"/>
      <c r="B80" s="26" t="s">
        <v>44</v>
      </c>
      <c r="C80" s="5" t="s">
        <v>16</v>
      </c>
      <c r="D80" s="2">
        <v>44</v>
      </c>
      <c r="E80" s="9" t="s">
        <v>81</v>
      </c>
      <c r="F80" s="58">
        <v>0.43</v>
      </c>
      <c r="G80" s="58">
        <v>0.37</v>
      </c>
      <c r="H80" s="7">
        <v>0.34</v>
      </c>
      <c r="I80" s="7">
        <v>0.35</v>
      </c>
      <c r="J80" s="10">
        <v>0.34100000000000003</v>
      </c>
      <c r="K80" s="7">
        <v>0.435</v>
      </c>
      <c r="L80" s="75">
        <f t="shared" si="5"/>
        <v>8.9999999999999969E-2</v>
      </c>
      <c r="M80" s="72">
        <f t="shared" si="6"/>
        <v>2.0000000000000018E-2</v>
      </c>
      <c r="N80" s="19"/>
    </row>
  </sheetData>
  <autoFilter ref="A5:N80"/>
  <mergeCells count="33">
    <mergeCell ref="N4:N5"/>
    <mergeCell ref="A1:N1"/>
    <mergeCell ref="A2:N2"/>
    <mergeCell ref="J4:K4"/>
    <mergeCell ref="L4:M4"/>
    <mergeCell ref="J67:J68"/>
    <mergeCell ref="K67:K68"/>
    <mergeCell ref="A4:A5"/>
    <mergeCell ref="B4:B5"/>
    <mergeCell ref="C4:C5"/>
    <mergeCell ref="D4:D5"/>
    <mergeCell ref="E4:E5"/>
    <mergeCell ref="B67:B68"/>
    <mergeCell ref="A59:A69"/>
    <mergeCell ref="B7:B12"/>
    <mergeCell ref="B13:B14"/>
    <mergeCell ref="A6:A18"/>
    <mergeCell ref="H4:I4"/>
    <mergeCell ref="F4:G4"/>
    <mergeCell ref="A70:A80"/>
    <mergeCell ref="B36:B38"/>
    <mergeCell ref="B26:B27"/>
    <mergeCell ref="A44:A58"/>
    <mergeCell ref="B59:B66"/>
    <mergeCell ref="B39:B40"/>
    <mergeCell ref="B42:B43"/>
    <mergeCell ref="A42:A43"/>
    <mergeCell ref="B28:B33"/>
    <mergeCell ref="A28:A35"/>
    <mergeCell ref="A36:A41"/>
    <mergeCell ref="B45:B50"/>
    <mergeCell ref="B51:B54"/>
    <mergeCell ref="A19:A27"/>
  </mergeCells>
  <conditionalFormatting sqref="M6:M33">
    <cfRule type="cellIs" dxfId="2" priority="3" operator="lessThan">
      <formula>-0.1</formula>
    </cfRule>
  </conditionalFormatting>
  <conditionalFormatting sqref="M34:M80">
    <cfRule type="cellIs" dxfId="1" priority="2" operator="lessThan">
      <formula>-0.1</formula>
    </cfRule>
  </conditionalFormatting>
  <conditionalFormatting sqref="L6:L80">
    <cfRule type="cellIs" dxfId="0" priority="1" operator="lessThan">
      <formula>0</formula>
    </cfRule>
  </conditionalFormatting>
  <pageMargins left="0.45" right="0.45" top="0.75" bottom="0.75" header="0.3" footer="0.3"/>
  <pageSetup scale="66"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opLeftCell="C1" workbookViewId="0">
      <selection activeCell="L10" sqref="L10"/>
    </sheetView>
  </sheetViews>
  <sheetFormatPr defaultRowHeight="15" x14ac:dyDescent="0.25"/>
  <cols>
    <col min="1" max="1" width="27.5703125" customWidth="1"/>
    <col min="2" max="2" width="39.42578125" customWidth="1"/>
    <col min="3" max="3" width="9.5703125" customWidth="1"/>
    <col min="4" max="4" width="5.140625" customWidth="1"/>
    <col min="5" max="5" width="34.28515625" customWidth="1"/>
    <col min="6" max="6" width="10" customWidth="1"/>
    <col min="7" max="7" width="11.28515625" customWidth="1"/>
    <col min="8" max="8" width="10" customWidth="1"/>
    <col min="9" max="9" width="11.28515625" customWidth="1"/>
    <col min="10" max="10" width="10" customWidth="1"/>
    <col min="11" max="11" width="11.28515625" customWidth="1"/>
    <col min="12" max="12" width="8.7109375" customWidth="1"/>
    <col min="13" max="13" width="12.28515625" customWidth="1"/>
    <col min="14" max="14" width="16.140625" customWidth="1"/>
  </cols>
  <sheetData>
    <row r="1" spans="1:14" ht="18.75" x14ac:dyDescent="0.25">
      <c r="A1" s="91" t="s">
        <v>0</v>
      </c>
      <c r="B1" s="91"/>
      <c r="C1" s="91"/>
      <c r="D1" s="91"/>
      <c r="E1" s="91"/>
      <c r="F1" s="91"/>
      <c r="G1" s="91"/>
      <c r="H1" s="91"/>
      <c r="I1" s="91"/>
      <c r="J1" s="91"/>
      <c r="K1" s="91"/>
      <c r="L1" s="91"/>
      <c r="M1" s="91"/>
      <c r="N1" s="91"/>
    </row>
    <row r="2" spans="1:14" x14ac:dyDescent="0.25">
      <c r="A2" s="95" t="s">
        <v>48</v>
      </c>
      <c r="B2" s="95"/>
      <c r="C2" s="95"/>
      <c r="D2" s="95"/>
      <c r="E2" s="95"/>
      <c r="F2" s="95"/>
      <c r="G2" s="95"/>
      <c r="H2" s="95"/>
      <c r="I2" s="95"/>
      <c r="J2" s="95"/>
      <c r="K2" s="95"/>
      <c r="L2" s="95"/>
      <c r="M2" s="95"/>
      <c r="N2" s="95"/>
    </row>
    <row r="3" spans="1:14" ht="6" customHeight="1" x14ac:dyDescent="0.25">
      <c r="D3" s="1"/>
      <c r="E3" s="1"/>
      <c r="F3" s="1"/>
      <c r="G3" s="1"/>
      <c r="H3" s="1"/>
      <c r="I3" s="1"/>
    </row>
    <row r="4" spans="1:14" ht="33.75" customHeight="1" x14ac:dyDescent="0.25">
      <c r="A4" s="83" t="s">
        <v>1</v>
      </c>
      <c r="B4" s="83" t="s">
        <v>45</v>
      </c>
      <c r="C4" s="96" t="s">
        <v>9</v>
      </c>
      <c r="D4" s="83" t="s">
        <v>12</v>
      </c>
      <c r="E4" s="85" t="s">
        <v>116</v>
      </c>
      <c r="F4" s="93" t="s">
        <v>162</v>
      </c>
      <c r="G4" s="93"/>
      <c r="H4" s="93" t="s">
        <v>71</v>
      </c>
      <c r="I4" s="93"/>
      <c r="J4" s="93" t="s">
        <v>72</v>
      </c>
      <c r="K4" s="93"/>
      <c r="L4" s="89" t="s">
        <v>164</v>
      </c>
      <c r="M4" s="90"/>
      <c r="N4" s="84" t="s">
        <v>178</v>
      </c>
    </row>
    <row r="5" spans="1:14" ht="30" x14ac:dyDescent="0.25">
      <c r="A5" s="83"/>
      <c r="B5" s="83"/>
      <c r="C5" s="97"/>
      <c r="D5" s="83"/>
      <c r="E5" s="86"/>
      <c r="F5" s="61" t="s">
        <v>46</v>
      </c>
      <c r="G5" s="61" t="s">
        <v>47</v>
      </c>
      <c r="H5" s="6" t="s">
        <v>46</v>
      </c>
      <c r="I5" s="6" t="s">
        <v>47</v>
      </c>
      <c r="J5" s="21" t="s">
        <v>46</v>
      </c>
      <c r="K5" s="21" t="s">
        <v>47</v>
      </c>
      <c r="L5" s="73" t="s">
        <v>114</v>
      </c>
      <c r="M5" s="74" t="s">
        <v>115</v>
      </c>
      <c r="N5" s="84"/>
    </row>
    <row r="6" spans="1:14" ht="30" x14ac:dyDescent="0.25">
      <c r="A6" s="94" t="s">
        <v>49</v>
      </c>
      <c r="B6" s="3" t="s">
        <v>50</v>
      </c>
      <c r="C6" s="2" t="s">
        <v>10</v>
      </c>
      <c r="D6" s="2">
        <v>95</v>
      </c>
      <c r="E6" s="17" t="s">
        <v>104</v>
      </c>
      <c r="F6" s="59">
        <v>0.89</v>
      </c>
      <c r="G6" s="59">
        <v>0.89</v>
      </c>
      <c r="H6" s="7">
        <v>0.89</v>
      </c>
      <c r="I6" s="7">
        <v>0.89</v>
      </c>
      <c r="J6" s="16">
        <f>1-12%</f>
        <v>0.88</v>
      </c>
      <c r="K6" s="16">
        <f>1-10%</f>
        <v>0.9</v>
      </c>
      <c r="L6" s="23">
        <f>F6-H6</f>
        <v>0</v>
      </c>
      <c r="M6" s="16">
        <f>G6-I6</f>
        <v>0</v>
      </c>
      <c r="N6" s="19"/>
    </row>
    <row r="7" spans="1:14" ht="30" x14ac:dyDescent="0.25">
      <c r="A7" s="94"/>
      <c r="B7" s="3" t="s">
        <v>51</v>
      </c>
      <c r="C7" s="2" t="s">
        <v>10</v>
      </c>
      <c r="D7" s="2">
        <v>96</v>
      </c>
      <c r="E7" s="17" t="s">
        <v>105</v>
      </c>
      <c r="F7" s="58">
        <v>0.92</v>
      </c>
      <c r="G7" s="58">
        <v>0.83</v>
      </c>
      <c r="H7" s="7">
        <v>0.85</v>
      </c>
      <c r="I7" s="7">
        <v>0.83</v>
      </c>
      <c r="J7" s="16">
        <f>1-20%</f>
        <v>0.8</v>
      </c>
      <c r="K7" s="16">
        <f>1-15%</f>
        <v>0.85</v>
      </c>
      <c r="L7" s="23">
        <f t="shared" ref="L7:L12" si="0">F7-H7</f>
        <v>7.0000000000000062E-2</v>
      </c>
      <c r="M7" s="72">
        <f t="shared" ref="M7:M12" si="1">G7-I7</f>
        <v>0</v>
      </c>
      <c r="N7" s="19"/>
    </row>
    <row r="8" spans="1:14" x14ac:dyDescent="0.25">
      <c r="A8" s="94"/>
      <c r="B8" s="3" t="s">
        <v>52</v>
      </c>
      <c r="C8" s="2" t="s">
        <v>10</v>
      </c>
      <c r="D8" s="2">
        <v>98</v>
      </c>
      <c r="E8" s="17" t="s">
        <v>107</v>
      </c>
      <c r="F8" s="58">
        <v>0.92</v>
      </c>
      <c r="G8" s="58">
        <v>0.91</v>
      </c>
      <c r="H8" s="7">
        <v>0.86</v>
      </c>
      <c r="I8" s="7">
        <v>0.91</v>
      </c>
      <c r="J8" s="16">
        <v>0.89</v>
      </c>
      <c r="K8" s="16">
        <v>0.9</v>
      </c>
      <c r="L8" s="23">
        <f t="shared" si="0"/>
        <v>6.0000000000000053E-2</v>
      </c>
      <c r="M8" s="72">
        <f t="shared" si="1"/>
        <v>0</v>
      </c>
      <c r="N8" s="19"/>
    </row>
    <row r="9" spans="1:14" ht="45" x14ac:dyDescent="0.25">
      <c r="A9" s="3" t="s">
        <v>53</v>
      </c>
      <c r="B9" s="4" t="s">
        <v>54</v>
      </c>
      <c r="C9" s="2" t="s">
        <v>10</v>
      </c>
      <c r="D9" s="2">
        <v>20</v>
      </c>
      <c r="E9" s="17" t="s">
        <v>97</v>
      </c>
      <c r="F9" s="58">
        <v>0.59</v>
      </c>
      <c r="G9" s="58">
        <v>0.45</v>
      </c>
      <c r="H9" s="7">
        <v>0.44</v>
      </c>
      <c r="I9" s="7">
        <v>0.43</v>
      </c>
      <c r="J9" s="16">
        <v>0.49</v>
      </c>
      <c r="K9" s="16">
        <v>0.39</v>
      </c>
      <c r="L9" s="23">
        <f t="shared" si="0"/>
        <v>0.14999999999999997</v>
      </c>
      <c r="M9" s="72">
        <f t="shared" si="1"/>
        <v>2.0000000000000018E-2</v>
      </c>
      <c r="N9" s="19" t="s">
        <v>179</v>
      </c>
    </row>
    <row r="10" spans="1:14" ht="30" x14ac:dyDescent="0.25">
      <c r="A10" s="94" t="s">
        <v>55</v>
      </c>
      <c r="B10" s="3" t="s">
        <v>56</v>
      </c>
      <c r="C10" s="2" t="s">
        <v>10</v>
      </c>
      <c r="D10" s="2">
        <v>24</v>
      </c>
      <c r="E10" s="17" t="s">
        <v>99</v>
      </c>
      <c r="F10" s="58">
        <v>0.87</v>
      </c>
      <c r="G10" s="58">
        <v>0.82</v>
      </c>
      <c r="H10" s="7">
        <v>0.71</v>
      </c>
      <c r="I10" s="7">
        <v>0.81</v>
      </c>
      <c r="J10" s="16">
        <v>0.65</v>
      </c>
      <c r="K10" s="16">
        <v>0.82</v>
      </c>
      <c r="L10" s="23">
        <f t="shared" si="0"/>
        <v>0.16000000000000003</v>
      </c>
      <c r="M10" s="72">
        <f t="shared" si="1"/>
        <v>9.9999999999998979E-3</v>
      </c>
      <c r="N10" s="19" t="s">
        <v>179</v>
      </c>
    </row>
    <row r="11" spans="1:14" ht="30" x14ac:dyDescent="0.25">
      <c r="A11" s="94"/>
      <c r="B11" s="3" t="s">
        <v>57</v>
      </c>
      <c r="C11" s="2" t="s">
        <v>10</v>
      </c>
      <c r="D11" s="2">
        <v>25</v>
      </c>
      <c r="E11" s="17" t="s">
        <v>100</v>
      </c>
      <c r="F11" s="58">
        <v>0.86</v>
      </c>
      <c r="G11" s="58">
        <v>0.91</v>
      </c>
      <c r="H11" s="7">
        <v>0.77</v>
      </c>
      <c r="I11" s="7">
        <v>0.89</v>
      </c>
      <c r="J11" s="16">
        <v>0.72</v>
      </c>
      <c r="K11" s="16">
        <v>0.9</v>
      </c>
      <c r="L11" s="23">
        <f t="shared" si="0"/>
        <v>8.9999999999999969E-2</v>
      </c>
      <c r="M11" s="72">
        <f t="shared" si="1"/>
        <v>2.0000000000000018E-2</v>
      </c>
      <c r="N11" s="19"/>
    </row>
    <row r="12" spans="1:14" ht="30" x14ac:dyDescent="0.25">
      <c r="A12" s="3" t="s">
        <v>58</v>
      </c>
      <c r="B12" s="4" t="s">
        <v>59</v>
      </c>
      <c r="C12" s="2" t="s">
        <v>10</v>
      </c>
      <c r="D12" s="2">
        <v>97</v>
      </c>
      <c r="E12" s="17" t="s">
        <v>106</v>
      </c>
      <c r="F12" s="58">
        <v>0.81</v>
      </c>
      <c r="G12" s="58">
        <v>0.78</v>
      </c>
      <c r="H12" s="8">
        <v>0.61</v>
      </c>
      <c r="I12" s="7">
        <v>0.77</v>
      </c>
      <c r="J12" s="16">
        <v>0.8</v>
      </c>
      <c r="K12" s="16">
        <v>0.84</v>
      </c>
      <c r="L12" s="23">
        <f t="shared" si="0"/>
        <v>0.20000000000000007</v>
      </c>
      <c r="M12" s="72">
        <f t="shared" si="1"/>
        <v>1.0000000000000009E-2</v>
      </c>
      <c r="N12" s="19" t="s">
        <v>179</v>
      </c>
    </row>
  </sheetData>
  <mergeCells count="14">
    <mergeCell ref="A1:N1"/>
    <mergeCell ref="A2:N2"/>
    <mergeCell ref="A4:A5"/>
    <mergeCell ref="B4:B5"/>
    <mergeCell ref="C4:C5"/>
    <mergeCell ref="D4:D5"/>
    <mergeCell ref="A10:A11"/>
    <mergeCell ref="A6:A8"/>
    <mergeCell ref="N4:N5"/>
    <mergeCell ref="J4:K4"/>
    <mergeCell ref="E4:E5"/>
    <mergeCell ref="H4:I4"/>
    <mergeCell ref="F4:G4"/>
    <mergeCell ref="L4:M4"/>
  </mergeCells>
  <pageMargins left="0.7" right="0.7" top="0.75" bottom="0.75" header="0.3" footer="0.3"/>
  <pageSetup scale="6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45"/>
  <sheetViews>
    <sheetView workbookViewId="0">
      <pane ySplit="3" topLeftCell="A4" activePane="bottomLeft" state="frozen"/>
      <selection pane="bottomLeft" activeCell="A4" sqref="A4:A11"/>
    </sheetView>
  </sheetViews>
  <sheetFormatPr defaultRowHeight="15" x14ac:dyDescent="0.25"/>
  <cols>
    <col min="1" max="1" width="25.28515625" customWidth="1"/>
    <col min="2" max="2" width="9.140625" style="29" customWidth="1"/>
    <col min="3" max="3" width="4.7109375" style="52" customWidth="1"/>
    <col min="4" max="4" width="53.28515625" customWidth="1"/>
    <col min="5" max="6" width="14.140625" customWidth="1"/>
    <col min="7" max="8" width="14.140625" style="28" customWidth="1"/>
    <col min="9" max="10" width="14.140625" customWidth="1"/>
  </cols>
  <sheetData>
    <row r="2" spans="1:10" x14ac:dyDescent="0.25">
      <c r="A2" s="100" t="s">
        <v>160</v>
      </c>
      <c r="B2" s="84" t="s">
        <v>119</v>
      </c>
      <c r="C2" s="100" t="s">
        <v>12</v>
      </c>
      <c r="D2" s="101" t="s">
        <v>45</v>
      </c>
      <c r="E2" s="98" t="s">
        <v>165</v>
      </c>
      <c r="F2" s="99"/>
      <c r="G2" s="98" t="s">
        <v>157</v>
      </c>
      <c r="H2" s="99"/>
      <c r="I2" s="98" t="s">
        <v>159</v>
      </c>
      <c r="J2" s="99"/>
    </row>
    <row r="3" spans="1:10" x14ac:dyDescent="0.25">
      <c r="A3" s="100"/>
      <c r="B3" s="84"/>
      <c r="C3" s="100"/>
      <c r="D3" s="102"/>
      <c r="E3" s="46" t="s">
        <v>158</v>
      </c>
      <c r="F3" s="47" t="s">
        <v>47</v>
      </c>
      <c r="G3" s="46" t="s">
        <v>158</v>
      </c>
      <c r="H3" s="47" t="s">
        <v>47</v>
      </c>
      <c r="I3" s="46" t="s">
        <v>158</v>
      </c>
      <c r="J3" s="47" t="s">
        <v>47</v>
      </c>
    </row>
    <row r="4" spans="1:10" ht="30" x14ac:dyDescent="0.25">
      <c r="A4" s="103" t="s">
        <v>154</v>
      </c>
      <c r="B4" s="37" t="s">
        <v>120</v>
      </c>
      <c r="C4" s="48">
        <v>23</v>
      </c>
      <c r="D4" s="38" t="s">
        <v>121</v>
      </c>
      <c r="E4" s="65">
        <v>0.72</v>
      </c>
      <c r="F4" s="66">
        <v>0.66</v>
      </c>
      <c r="G4" s="45">
        <v>0.61</v>
      </c>
      <c r="H4" s="30">
        <v>0.64</v>
      </c>
      <c r="I4" s="45">
        <f>AVERAGE(64%,55%,59%)</f>
        <v>0.59333333333333327</v>
      </c>
      <c r="J4" s="30">
        <f>AVERAGE(63%,63%,60%)</f>
        <v>0.62</v>
      </c>
    </row>
    <row r="5" spans="1:10" x14ac:dyDescent="0.25">
      <c r="A5" s="104"/>
      <c r="B5" s="35" t="s">
        <v>120</v>
      </c>
      <c r="C5" s="49">
        <v>24</v>
      </c>
      <c r="D5" s="39" t="s">
        <v>122</v>
      </c>
      <c r="E5" s="67">
        <v>0.87</v>
      </c>
      <c r="F5" s="68">
        <v>0.82</v>
      </c>
      <c r="G5" s="43">
        <v>0.71</v>
      </c>
      <c r="H5" s="31">
        <v>0.81</v>
      </c>
      <c r="I5" s="43">
        <v>0.65</v>
      </c>
      <c r="J5" s="31">
        <v>0.82</v>
      </c>
    </row>
    <row r="6" spans="1:10" x14ac:dyDescent="0.25">
      <c r="A6" s="104"/>
      <c r="B6" s="35" t="s">
        <v>120</v>
      </c>
      <c r="C6" s="49">
        <v>25</v>
      </c>
      <c r="D6" s="39" t="s">
        <v>100</v>
      </c>
      <c r="E6" s="67">
        <v>0.86</v>
      </c>
      <c r="F6" s="68">
        <v>0.91</v>
      </c>
      <c r="G6" s="43">
        <v>0.77</v>
      </c>
      <c r="H6" s="31">
        <v>0.89</v>
      </c>
      <c r="I6" s="43">
        <v>0.72</v>
      </c>
      <c r="J6" s="31">
        <v>0.9</v>
      </c>
    </row>
    <row r="7" spans="1:10" x14ac:dyDescent="0.25">
      <c r="A7" s="104"/>
      <c r="B7" s="35" t="s">
        <v>120</v>
      </c>
      <c r="C7" s="49">
        <v>27</v>
      </c>
      <c r="D7" s="39" t="s">
        <v>123</v>
      </c>
      <c r="E7" s="43">
        <v>0.67</v>
      </c>
      <c r="F7" s="31">
        <v>0.6</v>
      </c>
      <c r="G7" s="43">
        <v>0.54</v>
      </c>
      <c r="H7" s="31">
        <v>0.56999999999999995</v>
      </c>
      <c r="I7" s="43">
        <v>0.5</v>
      </c>
      <c r="J7" s="31">
        <v>0.46</v>
      </c>
    </row>
    <row r="8" spans="1:10" x14ac:dyDescent="0.25">
      <c r="A8" s="104"/>
      <c r="B8" s="35" t="s">
        <v>120</v>
      </c>
      <c r="C8" s="49">
        <v>28</v>
      </c>
      <c r="D8" s="39" t="s">
        <v>124</v>
      </c>
      <c r="E8" s="43">
        <v>0.85</v>
      </c>
      <c r="F8" s="31">
        <v>0.86</v>
      </c>
      <c r="G8" s="43">
        <v>0.78</v>
      </c>
      <c r="H8" s="31">
        <v>0.86</v>
      </c>
      <c r="I8" s="43">
        <v>0.87</v>
      </c>
      <c r="J8" s="31">
        <v>0.86</v>
      </c>
    </row>
    <row r="9" spans="1:10" ht="30" x14ac:dyDescent="0.25">
      <c r="A9" s="104"/>
      <c r="B9" s="35" t="s">
        <v>120</v>
      </c>
      <c r="C9" s="49">
        <v>29</v>
      </c>
      <c r="D9" s="40" t="s">
        <v>103</v>
      </c>
      <c r="E9" s="67">
        <v>0.72</v>
      </c>
      <c r="F9" s="68">
        <v>0.67</v>
      </c>
      <c r="G9" s="43">
        <v>0.46</v>
      </c>
      <c r="H9" s="31">
        <v>0.63</v>
      </c>
      <c r="I9" s="43">
        <v>0.47</v>
      </c>
      <c r="J9" s="31">
        <v>0.57999999999999996</v>
      </c>
    </row>
    <row r="10" spans="1:10" x14ac:dyDescent="0.25">
      <c r="A10" s="104"/>
      <c r="B10" s="35" t="s">
        <v>120</v>
      </c>
      <c r="C10" s="49">
        <v>76</v>
      </c>
      <c r="D10" s="39" t="s">
        <v>125</v>
      </c>
      <c r="E10" s="43">
        <v>0.87</v>
      </c>
      <c r="F10" s="31">
        <v>0.87</v>
      </c>
      <c r="G10" s="43">
        <v>0.79</v>
      </c>
      <c r="H10" s="31">
        <v>0.87</v>
      </c>
      <c r="I10" s="43">
        <v>0.77</v>
      </c>
      <c r="J10" s="31">
        <v>0.84</v>
      </c>
    </row>
    <row r="11" spans="1:10" ht="30" x14ac:dyDescent="0.25">
      <c r="A11" s="105"/>
      <c r="B11" s="36" t="s">
        <v>16</v>
      </c>
      <c r="C11" s="50">
        <v>13</v>
      </c>
      <c r="D11" s="41" t="s">
        <v>147</v>
      </c>
      <c r="E11" s="69">
        <v>0.92</v>
      </c>
      <c r="F11" s="70">
        <v>0.95</v>
      </c>
      <c r="G11" s="44">
        <v>0.87</v>
      </c>
      <c r="H11" s="33">
        <v>0.93</v>
      </c>
      <c r="I11" s="44"/>
      <c r="J11" s="33"/>
    </row>
    <row r="12" spans="1:10" ht="30" x14ac:dyDescent="0.25">
      <c r="A12" s="106" t="s">
        <v>126</v>
      </c>
      <c r="B12" s="34" t="s">
        <v>120</v>
      </c>
      <c r="C12" s="51">
        <v>58</v>
      </c>
      <c r="D12" s="42" t="s">
        <v>89</v>
      </c>
      <c r="E12" s="65">
        <v>0.86</v>
      </c>
      <c r="F12" s="66">
        <v>0.79</v>
      </c>
      <c r="G12" s="45">
        <v>0.73</v>
      </c>
      <c r="H12" s="30">
        <v>0.78</v>
      </c>
      <c r="I12" s="45">
        <v>0.81</v>
      </c>
      <c r="J12" s="30">
        <v>0.81</v>
      </c>
    </row>
    <row r="13" spans="1:10" ht="30" x14ac:dyDescent="0.25">
      <c r="A13" s="104"/>
      <c r="B13" s="35" t="s">
        <v>120</v>
      </c>
      <c r="C13" s="49">
        <v>59</v>
      </c>
      <c r="D13" s="40" t="s">
        <v>127</v>
      </c>
      <c r="E13" s="67">
        <v>0.83</v>
      </c>
      <c r="F13" s="68">
        <v>0.8</v>
      </c>
      <c r="G13" s="43">
        <v>0.8</v>
      </c>
      <c r="H13" s="31">
        <v>0.8</v>
      </c>
      <c r="I13" s="43">
        <v>0.86</v>
      </c>
      <c r="J13" s="31">
        <v>0.79</v>
      </c>
    </row>
    <row r="14" spans="1:10" ht="30" x14ac:dyDescent="0.25">
      <c r="A14" s="105"/>
      <c r="B14" s="36" t="s">
        <v>120</v>
      </c>
      <c r="C14" s="50">
        <v>78</v>
      </c>
      <c r="D14" s="41" t="s">
        <v>128</v>
      </c>
      <c r="E14" s="69">
        <v>0.88</v>
      </c>
      <c r="F14" s="70">
        <v>0.84</v>
      </c>
      <c r="G14" s="44">
        <v>0.79</v>
      </c>
      <c r="H14" s="33">
        <v>0.84</v>
      </c>
      <c r="I14" s="44">
        <v>0.85</v>
      </c>
      <c r="J14" s="33">
        <v>0.85</v>
      </c>
    </row>
    <row r="15" spans="1:10" x14ac:dyDescent="0.25">
      <c r="A15" s="106" t="s">
        <v>129</v>
      </c>
      <c r="B15" s="34" t="s">
        <v>120</v>
      </c>
      <c r="C15" s="51">
        <v>70</v>
      </c>
      <c r="D15" s="42" t="s">
        <v>130</v>
      </c>
      <c r="E15" s="65">
        <v>0.95</v>
      </c>
      <c r="F15" s="66">
        <v>0.95</v>
      </c>
      <c r="G15" s="45">
        <v>0.92</v>
      </c>
      <c r="H15" s="30">
        <v>0.95</v>
      </c>
      <c r="I15" s="45">
        <v>0.94</v>
      </c>
      <c r="J15" s="30">
        <v>0.93</v>
      </c>
    </row>
    <row r="16" spans="1:10" ht="30" x14ac:dyDescent="0.25">
      <c r="A16" s="104"/>
      <c r="B16" s="35" t="s">
        <v>120</v>
      </c>
      <c r="C16" s="49">
        <v>71</v>
      </c>
      <c r="D16" s="40" t="s">
        <v>131</v>
      </c>
      <c r="E16" s="67">
        <v>0.88</v>
      </c>
      <c r="F16" s="68">
        <v>0.87</v>
      </c>
      <c r="G16" s="43">
        <v>0.87</v>
      </c>
      <c r="H16" s="31">
        <v>0.88</v>
      </c>
      <c r="I16" s="43">
        <v>0.84</v>
      </c>
      <c r="J16" s="31">
        <v>0.86</v>
      </c>
    </row>
    <row r="17" spans="1:10" ht="30" x14ac:dyDescent="0.25">
      <c r="A17" s="104"/>
      <c r="B17" s="35" t="s">
        <v>120</v>
      </c>
      <c r="C17" s="49">
        <v>73</v>
      </c>
      <c r="D17" s="40" t="s">
        <v>132</v>
      </c>
      <c r="E17" s="67">
        <v>0.72</v>
      </c>
      <c r="F17" s="68">
        <v>0.74</v>
      </c>
      <c r="G17" s="43">
        <v>0.64</v>
      </c>
      <c r="H17" s="31">
        <v>0.75</v>
      </c>
      <c r="I17" s="71"/>
      <c r="J17" s="32"/>
    </row>
    <row r="18" spans="1:10" x14ac:dyDescent="0.25">
      <c r="A18" s="104"/>
      <c r="B18" s="35" t="s">
        <v>120</v>
      </c>
      <c r="C18" s="49">
        <v>77</v>
      </c>
      <c r="D18" s="40" t="s">
        <v>133</v>
      </c>
      <c r="E18" s="67">
        <v>0.61</v>
      </c>
      <c r="F18" s="68">
        <v>0.82</v>
      </c>
      <c r="G18" s="43">
        <v>0.8</v>
      </c>
      <c r="H18" s="31">
        <v>0.82</v>
      </c>
      <c r="I18" s="43">
        <v>0.83</v>
      </c>
      <c r="J18" s="31">
        <v>0.87</v>
      </c>
    </row>
    <row r="19" spans="1:10" ht="30" x14ac:dyDescent="0.25">
      <c r="A19" s="104"/>
      <c r="B19" s="35" t="s">
        <v>16</v>
      </c>
      <c r="C19" s="49">
        <v>1</v>
      </c>
      <c r="D19" s="40" t="s">
        <v>140</v>
      </c>
      <c r="E19" s="67">
        <f>41%+31%+18%</f>
        <v>0.89999999999999991</v>
      </c>
      <c r="F19" s="68">
        <f>34%+40%+17%</f>
        <v>0.91</v>
      </c>
      <c r="G19" s="43">
        <f>34%+32%+21%</f>
        <v>0.87</v>
      </c>
      <c r="H19" s="31">
        <f>35%+36%+17%</f>
        <v>0.88</v>
      </c>
      <c r="I19" s="43">
        <f>45.5%+31.2%</f>
        <v>0.76700000000000002</v>
      </c>
      <c r="J19" s="31">
        <f>53.4%+30.7%</f>
        <v>0.84099999999999997</v>
      </c>
    </row>
    <row r="20" spans="1:10" ht="30" x14ac:dyDescent="0.25">
      <c r="A20" s="104"/>
      <c r="B20" s="35" t="s">
        <v>16</v>
      </c>
      <c r="C20" s="49">
        <v>3</v>
      </c>
      <c r="D20" s="40" t="s">
        <v>177</v>
      </c>
      <c r="E20" s="67">
        <f>45%+28%+18%</f>
        <v>0.90999999999999992</v>
      </c>
      <c r="F20" s="68">
        <f>39%+37%+16%</f>
        <v>0.92</v>
      </c>
      <c r="G20" s="43">
        <f>40%+31%+19%</f>
        <v>0.89999999999999991</v>
      </c>
      <c r="H20" s="31">
        <f>43%+34%+15%</f>
        <v>0.92</v>
      </c>
      <c r="I20" s="43"/>
      <c r="J20" s="31"/>
    </row>
    <row r="21" spans="1:10" ht="45" x14ac:dyDescent="0.25">
      <c r="A21" s="104"/>
      <c r="B21" s="35" t="s">
        <v>16</v>
      </c>
      <c r="C21" s="49">
        <v>5</v>
      </c>
      <c r="D21" s="40" t="s">
        <v>141</v>
      </c>
      <c r="E21" s="67">
        <v>0.82</v>
      </c>
      <c r="F21" s="68">
        <f>38%+25%+13%</f>
        <v>0.76</v>
      </c>
      <c r="G21" s="43">
        <f>39%+20%+10%</f>
        <v>0.69000000000000006</v>
      </c>
      <c r="H21" s="31">
        <f>38%+24%+12%</f>
        <v>0.74</v>
      </c>
      <c r="I21" s="43">
        <f>55.4%+25.4%</f>
        <v>0.80799999999999994</v>
      </c>
      <c r="J21" s="31">
        <f>61.3%+20.7%</f>
        <v>0.82</v>
      </c>
    </row>
    <row r="22" spans="1:10" x14ac:dyDescent="0.25">
      <c r="A22" s="104"/>
      <c r="B22" s="35" t="s">
        <v>16</v>
      </c>
      <c r="C22" s="49">
        <v>6</v>
      </c>
      <c r="D22" s="40" t="s">
        <v>142</v>
      </c>
      <c r="E22" s="67">
        <v>0.8</v>
      </c>
      <c r="F22" s="68">
        <v>0.89</v>
      </c>
      <c r="G22" s="43">
        <v>0.77</v>
      </c>
      <c r="H22" s="31">
        <v>0.85</v>
      </c>
      <c r="I22" s="43"/>
      <c r="J22" s="31"/>
    </row>
    <row r="23" spans="1:10" ht="30" x14ac:dyDescent="0.25">
      <c r="A23" s="104"/>
      <c r="B23" s="35" t="s">
        <v>16</v>
      </c>
      <c r="C23" s="49">
        <v>7</v>
      </c>
      <c r="D23" s="40" t="s">
        <v>143</v>
      </c>
      <c r="E23" s="67">
        <v>0.91</v>
      </c>
      <c r="F23" s="68">
        <v>0.85</v>
      </c>
      <c r="G23" s="43">
        <v>0.91</v>
      </c>
      <c r="H23" s="31">
        <v>0.84</v>
      </c>
      <c r="I23" s="43"/>
      <c r="J23" s="31"/>
    </row>
    <row r="24" spans="1:10" ht="30" x14ac:dyDescent="0.25">
      <c r="A24" s="104"/>
      <c r="B24" s="35" t="s">
        <v>16</v>
      </c>
      <c r="C24" s="49">
        <v>8</v>
      </c>
      <c r="D24" s="40" t="s">
        <v>144</v>
      </c>
      <c r="E24" s="67">
        <v>0.75</v>
      </c>
      <c r="F24" s="68">
        <v>0.88</v>
      </c>
      <c r="G24" s="43">
        <v>0.8</v>
      </c>
      <c r="H24" s="31">
        <v>0.8</v>
      </c>
      <c r="I24" s="43">
        <f>59.7%+27.7%</f>
        <v>0.87399999999999989</v>
      </c>
      <c r="J24" s="31">
        <f>73.8%+20.5%</f>
        <v>0.94299999999999995</v>
      </c>
    </row>
    <row r="25" spans="1:10" ht="30" x14ac:dyDescent="0.25">
      <c r="A25" s="104"/>
      <c r="B25" s="35" t="s">
        <v>16</v>
      </c>
      <c r="C25" s="49">
        <v>11</v>
      </c>
      <c r="D25" s="40" t="s">
        <v>145</v>
      </c>
      <c r="E25" s="67">
        <v>0.83</v>
      </c>
      <c r="F25" s="68">
        <v>0.79</v>
      </c>
      <c r="G25" s="43">
        <v>0.83</v>
      </c>
      <c r="H25" s="31">
        <v>0.78</v>
      </c>
      <c r="I25" s="43">
        <f>61.3%+30.7%</f>
        <v>0.91999999999999993</v>
      </c>
      <c r="J25" s="31">
        <f>69.1%+25.9%</f>
        <v>0.95</v>
      </c>
    </row>
    <row r="26" spans="1:10" ht="30" x14ac:dyDescent="0.25">
      <c r="A26" s="104"/>
      <c r="B26" s="35" t="s">
        <v>16</v>
      </c>
      <c r="C26" s="49">
        <v>12</v>
      </c>
      <c r="D26" s="40" t="s">
        <v>146</v>
      </c>
      <c r="E26" s="67">
        <v>0.78</v>
      </c>
      <c r="F26" s="68">
        <v>0.76</v>
      </c>
      <c r="G26" s="43">
        <v>0.72</v>
      </c>
      <c r="H26" s="31">
        <v>0.75</v>
      </c>
      <c r="I26" s="43"/>
      <c r="J26" s="31"/>
    </row>
    <row r="27" spans="1:10" ht="45" x14ac:dyDescent="0.25">
      <c r="A27" s="104"/>
      <c r="B27" s="35" t="s">
        <v>16</v>
      </c>
      <c r="C27" s="49">
        <v>23</v>
      </c>
      <c r="D27" s="40" t="s">
        <v>148</v>
      </c>
      <c r="E27" s="67">
        <f>48%+15%+11%</f>
        <v>0.74</v>
      </c>
      <c r="F27" s="68">
        <f>49%+29%+10%</f>
        <v>0.88</v>
      </c>
      <c r="G27" s="43">
        <f>47%+23%+10%</f>
        <v>0.79999999999999993</v>
      </c>
      <c r="H27" s="31">
        <f>47%+30%+10%</f>
        <v>0.87</v>
      </c>
      <c r="I27" s="43">
        <f>50%+11.1%</f>
        <v>0.61099999999999999</v>
      </c>
      <c r="J27" s="31">
        <f>64.8%+18.6%</f>
        <v>0.83400000000000007</v>
      </c>
    </row>
    <row r="28" spans="1:10" ht="45" x14ac:dyDescent="0.25">
      <c r="A28" s="104"/>
      <c r="B28" s="35" t="s">
        <v>16</v>
      </c>
      <c r="C28" s="49">
        <v>27</v>
      </c>
      <c r="D28" s="40" t="s">
        <v>149</v>
      </c>
      <c r="E28" s="67">
        <v>0.78</v>
      </c>
      <c r="F28" s="68">
        <v>0.76</v>
      </c>
      <c r="G28" s="43">
        <v>0.73</v>
      </c>
      <c r="H28" s="31">
        <v>0.67</v>
      </c>
      <c r="I28" s="43"/>
      <c r="J28" s="31"/>
    </row>
    <row r="29" spans="1:10" ht="30" x14ac:dyDescent="0.25">
      <c r="A29" s="104"/>
      <c r="B29" s="35" t="s">
        <v>16</v>
      </c>
      <c r="C29" s="49">
        <v>28</v>
      </c>
      <c r="D29" s="40" t="s">
        <v>150</v>
      </c>
      <c r="E29" s="67">
        <v>0.73</v>
      </c>
      <c r="F29" s="68">
        <v>0.68</v>
      </c>
      <c r="G29" s="43">
        <v>0.7</v>
      </c>
      <c r="H29" s="31">
        <v>0.7</v>
      </c>
      <c r="I29" s="43">
        <f>56.1%+17.1%</f>
        <v>0.7320000000000001</v>
      </c>
      <c r="J29" s="31">
        <f>56.4%+14%</f>
        <v>0.70399999999999996</v>
      </c>
    </row>
    <row r="30" spans="1:10" ht="45" x14ac:dyDescent="0.25">
      <c r="A30" s="104"/>
      <c r="B30" s="35" t="s">
        <v>16</v>
      </c>
      <c r="C30" s="49">
        <v>45</v>
      </c>
      <c r="D30" s="40" t="s">
        <v>155</v>
      </c>
      <c r="E30" s="67">
        <v>7.0000000000000007E-2</v>
      </c>
      <c r="F30" s="68">
        <v>0.32</v>
      </c>
      <c r="G30" s="43">
        <v>7.0000000000000007E-2</v>
      </c>
      <c r="H30" s="31">
        <v>0.27</v>
      </c>
      <c r="I30" s="43"/>
      <c r="J30" s="31"/>
    </row>
    <row r="31" spans="1:10" ht="30" x14ac:dyDescent="0.25">
      <c r="A31" s="104"/>
      <c r="B31" s="35" t="s">
        <v>16</v>
      </c>
      <c r="C31" s="49">
        <v>46</v>
      </c>
      <c r="D31" s="40" t="s">
        <v>69</v>
      </c>
      <c r="E31" s="67">
        <v>0.06</v>
      </c>
      <c r="F31" s="68">
        <v>0.13</v>
      </c>
      <c r="G31" s="43">
        <v>0.06</v>
      </c>
      <c r="H31" s="31">
        <v>0.13</v>
      </c>
      <c r="I31" s="43"/>
      <c r="J31" s="31"/>
    </row>
    <row r="32" spans="1:10" ht="30" x14ac:dyDescent="0.25">
      <c r="A32" s="104"/>
      <c r="B32" s="35" t="s">
        <v>16</v>
      </c>
      <c r="C32" s="49">
        <v>53</v>
      </c>
      <c r="D32" s="40" t="s">
        <v>76</v>
      </c>
      <c r="E32" s="67">
        <v>0.62</v>
      </c>
      <c r="F32" s="68">
        <v>0.65</v>
      </c>
      <c r="G32" s="43">
        <v>0.51</v>
      </c>
      <c r="H32" s="31">
        <v>0.56999999999999995</v>
      </c>
      <c r="I32" s="43"/>
      <c r="J32" s="31"/>
    </row>
    <row r="33" spans="1:10" ht="45" x14ac:dyDescent="0.25">
      <c r="A33" s="104"/>
      <c r="B33" s="35" t="s">
        <v>16</v>
      </c>
      <c r="C33" s="49">
        <v>54</v>
      </c>
      <c r="D33" s="40" t="s">
        <v>28</v>
      </c>
      <c r="E33" s="67">
        <v>0.76</v>
      </c>
      <c r="F33" s="68">
        <v>0.83</v>
      </c>
      <c r="G33" s="43">
        <v>0.75</v>
      </c>
      <c r="H33" s="31">
        <v>0.81</v>
      </c>
      <c r="I33" s="43"/>
      <c r="J33" s="31"/>
    </row>
    <row r="34" spans="1:10" x14ac:dyDescent="0.25">
      <c r="A34" s="104"/>
      <c r="B34" s="35" t="s">
        <v>16</v>
      </c>
      <c r="C34" s="49">
        <v>55</v>
      </c>
      <c r="D34" s="40" t="s">
        <v>29</v>
      </c>
      <c r="E34" s="67">
        <v>0.88</v>
      </c>
      <c r="F34" s="68">
        <v>0.82</v>
      </c>
      <c r="G34" s="43">
        <v>0.79</v>
      </c>
      <c r="H34" s="31">
        <v>0.78</v>
      </c>
      <c r="I34" s="43"/>
      <c r="J34" s="31"/>
    </row>
    <row r="35" spans="1:10" ht="30" x14ac:dyDescent="0.25">
      <c r="A35" s="104"/>
      <c r="B35" s="35" t="s">
        <v>16</v>
      </c>
      <c r="C35" s="49">
        <v>56</v>
      </c>
      <c r="D35" s="40" t="s">
        <v>77</v>
      </c>
      <c r="E35" s="67">
        <v>0.44</v>
      </c>
      <c r="F35" s="68">
        <v>0.36</v>
      </c>
      <c r="G35" s="43">
        <v>0.31</v>
      </c>
      <c r="H35" s="31">
        <v>0.4</v>
      </c>
      <c r="I35" s="43"/>
      <c r="J35" s="31"/>
    </row>
    <row r="36" spans="1:10" ht="45" x14ac:dyDescent="0.25">
      <c r="A36" s="105"/>
      <c r="B36" s="36" t="s">
        <v>16</v>
      </c>
      <c r="C36" s="50">
        <v>58</v>
      </c>
      <c r="D36" s="41" t="s">
        <v>156</v>
      </c>
      <c r="E36" s="69">
        <v>0.71</v>
      </c>
      <c r="F36" s="70">
        <v>0.85</v>
      </c>
      <c r="G36" s="44">
        <v>0.73</v>
      </c>
      <c r="H36" s="33">
        <v>0.81</v>
      </c>
      <c r="I36" s="44"/>
      <c r="J36" s="33"/>
    </row>
    <row r="37" spans="1:10" x14ac:dyDescent="0.25">
      <c r="A37" s="106" t="s">
        <v>138</v>
      </c>
      <c r="B37" s="34" t="s">
        <v>120</v>
      </c>
      <c r="C37" s="51">
        <v>96</v>
      </c>
      <c r="D37" s="42" t="s">
        <v>105</v>
      </c>
      <c r="E37" s="65">
        <v>0.92</v>
      </c>
      <c r="F37" s="66">
        <v>0.83</v>
      </c>
      <c r="G37" s="45">
        <v>0.85</v>
      </c>
      <c r="H37" s="30">
        <v>0.83</v>
      </c>
      <c r="I37" s="45">
        <f>1-20%</f>
        <v>0.8</v>
      </c>
      <c r="J37" s="30">
        <f>1-15%</f>
        <v>0.85</v>
      </c>
    </row>
    <row r="38" spans="1:10" x14ac:dyDescent="0.25">
      <c r="A38" s="104"/>
      <c r="B38" s="35" t="s">
        <v>120</v>
      </c>
      <c r="C38" s="49">
        <v>98</v>
      </c>
      <c r="D38" s="40" t="s">
        <v>107</v>
      </c>
      <c r="E38" s="67">
        <v>0.92</v>
      </c>
      <c r="F38" s="68">
        <v>0.91</v>
      </c>
      <c r="G38" s="43">
        <v>0.86</v>
      </c>
      <c r="H38" s="31">
        <v>0.91</v>
      </c>
      <c r="I38" s="43">
        <v>0.89</v>
      </c>
      <c r="J38" s="31">
        <v>0.9</v>
      </c>
    </row>
    <row r="39" spans="1:10" x14ac:dyDescent="0.25">
      <c r="A39" s="105"/>
      <c r="B39" s="36" t="s">
        <v>120</v>
      </c>
      <c r="C39" s="50">
        <v>99</v>
      </c>
      <c r="D39" s="41" t="s">
        <v>139</v>
      </c>
      <c r="E39" s="69">
        <v>0.84</v>
      </c>
      <c r="F39" s="70">
        <v>0.87</v>
      </c>
      <c r="G39" s="44">
        <v>0.82</v>
      </c>
      <c r="H39" s="33">
        <v>0.86</v>
      </c>
      <c r="I39" s="44">
        <f>1-29%</f>
        <v>0.71</v>
      </c>
      <c r="J39" s="33">
        <f>1-11%</f>
        <v>0.89</v>
      </c>
    </row>
    <row r="40" spans="1:10" x14ac:dyDescent="0.25">
      <c r="A40" s="106" t="s">
        <v>134</v>
      </c>
      <c r="B40" s="34" t="s">
        <v>120</v>
      </c>
      <c r="C40" s="51">
        <v>83</v>
      </c>
      <c r="D40" s="42" t="s">
        <v>135</v>
      </c>
      <c r="E40" s="65">
        <v>0.71</v>
      </c>
      <c r="F40" s="66">
        <v>0.89</v>
      </c>
      <c r="G40" s="45">
        <v>0.84</v>
      </c>
      <c r="H40" s="30">
        <v>0.88</v>
      </c>
      <c r="I40" s="45">
        <v>0.92</v>
      </c>
      <c r="J40" s="30">
        <v>0.92</v>
      </c>
    </row>
    <row r="41" spans="1:10" x14ac:dyDescent="0.25">
      <c r="A41" s="104"/>
      <c r="B41" s="35" t="s">
        <v>120</v>
      </c>
      <c r="C41" s="49">
        <v>84</v>
      </c>
      <c r="D41" s="40" t="s">
        <v>136</v>
      </c>
      <c r="E41" s="67">
        <v>0.85</v>
      </c>
      <c r="F41" s="68">
        <v>0.81</v>
      </c>
      <c r="G41" s="43">
        <v>0.86</v>
      </c>
      <c r="H41" s="31">
        <v>0.79</v>
      </c>
      <c r="I41" s="43">
        <v>0.87</v>
      </c>
      <c r="J41" s="31">
        <v>0.83</v>
      </c>
    </row>
    <row r="42" spans="1:10" x14ac:dyDescent="0.25">
      <c r="A42" s="104"/>
      <c r="B42" s="35" t="s">
        <v>120</v>
      </c>
      <c r="C42" s="49">
        <v>85</v>
      </c>
      <c r="D42" s="40" t="s">
        <v>137</v>
      </c>
      <c r="E42" s="67">
        <v>0.6</v>
      </c>
      <c r="F42" s="68">
        <v>0.59</v>
      </c>
      <c r="G42" s="43">
        <v>0.65</v>
      </c>
      <c r="H42" s="31">
        <v>0.59</v>
      </c>
      <c r="I42" s="43">
        <v>0.63</v>
      </c>
      <c r="J42" s="31">
        <v>0.65</v>
      </c>
    </row>
    <row r="43" spans="1:10" ht="30" x14ac:dyDescent="0.25">
      <c r="A43" s="104"/>
      <c r="B43" s="35" t="s">
        <v>16</v>
      </c>
      <c r="C43" s="49">
        <v>32</v>
      </c>
      <c r="D43" s="40" t="s">
        <v>151</v>
      </c>
      <c r="E43" s="67">
        <v>0.87</v>
      </c>
      <c r="F43" s="68">
        <v>0.9</v>
      </c>
      <c r="G43" s="43">
        <v>0.85</v>
      </c>
      <c r="H43" s="31">
        <v>0.87</v>
      </c>
      <c r="I43" s="43"/>
      <c r="J43" s="31"/>
    </row>
    <row r="44" spans="1:10" x14ac:dyDescent="0.25">
      <c r="A44" s="104"/>
      <c r="B44" s="35" t="s">
        <v>16</v>
      </c>
      <c r="C44" s="49">
        <v>33</v>
      </c>
      <c r="D44" s="40" t="s">
        <v>152</v>
      </c>
      <c r="E44" s="67">
        <v>0.88</v>
      </c>
      <c r="F44" s="68">
        <v>0.78</v>
      </c>
      <c r="G44" s="43">
        <v>0.89</v>
      </c>
      <c r="H44" s="31">
        <v>0.78</v>
      </c>
      <c r="I44" s="43"/>
      <c r="J44" s="31"/>
    </row>
    <row r="45" spans="1:10" ht="30" x14ac:dyDescent="0.25">
      <c r="A45" s="105"/>
      <c r="B45" s="36" t="s">
        <v>16</v>
      </c>
      <c r="C45" s="50">
        <v>34</v>
      </c>
      <c r="D45" s="41" t="s">
        <v>153</v>
      </c>
      <c r="E45" s="69">
        <v>0.44</v>
      </c>
      <c r="F45" s="70">
        <v>0.39</v>
      </c>
      <c r="G45" s="44">
        <v>0.41</v>
      </c>
      <c r="H45" s="33">
        <v>0.44</v>
      </c>
      <c r="I45" s="44"/>
      <c r="J45" s="33"/>
    </row>
  </sheetData>
  <autoFilter ref="A3:J45"/>
  <mergeCells count="12">
    <mergeCell ref="A4:A11"/>
    <mergeCell ref="A12:A14"/>
    <mergeCell ref="A15:A36"/>
    <mergeCell ref="A37:A39"/>
    <mergeCell ref="A40:A45"/>
    <mergeCell ref="I2:J2"/>
    <mergeCell ref="A2:A3"/>
    <mergeCell ref="B2:B3"/>
    <mergeCell ref="D2:D3"/>
    <mergeCell ref="C2:C3"/>
    <mergeCell ref="G2:H2"/>
    <mergeCell ref="E2:F2"/>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NCI table 1</vt:lpstr>
      <vt:lpstr>NCI table 2</vt:lpstr>
      <vt:lpstr>Others</vt:lpstr>
      <vt:lpstr>'NCI table 1'!Print_Titles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2015-09-03T21:10:26Z</cp:lastPrinted>
  <dcterms:created xsi:type="dcterms:W3CDTF">2015-08-19T21:05:23Z</dcterms:created>
  <dcterms:modified xsi:type="dcterms:W3CDTF">2016-06-13T17:27:14Z</dcterms:modified>
</cp:coreProperties>
</file>