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9320" windowHeight="7695" firstSheet="3" activeTab="5"/>
  </bookViews>
  <sheets>
    <sheet name="Provider sheet" sheetId="1" r:id="rId1"/>
    <sheet name="KR sheet" sheetId="2" r:id="rId2"/>
    <sheet name="Rate models" sheetId="3" r:id="rId3"/>
    <sheet name="1" sheetId="4" r:id="rId4"/>
    <sheet name="Sheet3" sheetId="6" r:id="rId5"/>
    <sheet name="Day Hab SMGrp" sheetId="7" r:id="rId6"/>
    <sheet name="Day Hab Lg Grp" sheetId="9" r:id="rId7"/>
    <sheet name="DH onetoone" sheetId="10" r:id="rId8"/>
    <sheet name="ER" sheetId="11" r:id="rId9"/>
  </sheets>
  <definedNames>
    <definedName name="_xlnm.Print_Area" localSheetId="3">'1'!$A$1:$I$37</definedName>
    <definedName name="_xlnm.Print_Area" localSheetId="6">'Day Hab Lg Grp'!$A$1:$H$40</definedName>
    <definedName name="_xlnm.Print_Area" localSheetId="5">'Day Hab SMGrp'!$A$1:$H$38</definedName>
    <definedName name="_xlnm.Print_Area" localSheetId="7">'DH onetoone'!$A$1:$I$40</definedName>
  </definedNames>
  <calcPr calcId="145621"/>
</workbook>
</file>

<file path=xl/calcChain.xml><?xml version="1.0" encoding="utf-8"?>
<calcChain xmlns="http://schemas.openxmlformats.org/spreadsheetml/2006/main">
  <c r="G35" i="7" l="1"/>
  <c r="E33" i="7"/>
  <c r="E29" i="7"/>
  <c r="E28" i="7"/>
  <c r="E27" i="7"/>
  <c r="E26" i="7"/>
  <c r="E25" i="7"/>
  <c r="E24" i="7"/>
  <c r="E23" i="7"/>
  <c r="G35" i="11"/>
  <c r="E33" i="11"/>
  <c r="E29" i="11"/>
  <c r="E28" i="11"/>
  <c r="E27" i="11"/>
  <c r="E26" i="11"/>
  <c r="E25" i="11"/>
  <c r="E24" i="11"/>
  <c r="E11" i="11"/>
  <c r="E14" i="11"/>
  <c r="E23" i="11"/>
  <c r="E8" i="11"/>
  <c r="E17" i="7"/>
  <c r="E14" i="7"/>
  <c r="E11" i="7"/>
  <c r="E8" i="7"/>
  <c r="E33" i="10"/>
  <c r="E29" i="10"/>
  <c r="E28" i="10"/>
  <c r="E27" i="10"/>
  <c r="E26" i="10"/>
  <c r="E25" i="10"/>
  <c r="E24" i="10"/>
  <c r="E23" i="10"/>
  <c r="E17" i="10"/>
  <c r="E14" i="10"/>
  <c r="E11" i="10"/>
  <c r="E8" i="10"/>
  <c r="E33" i="9"/>
  <c r="E29" i="9"/>
  <c r="E28" i="9"/>
  <c r="E27" i="9"/>
  <c r="E26" i="9"/>
  <c r="E25" i="9"/>
  <c r="E24" i="9"/>
  <c r="E23" i="9"/>
  <c r="E17" i="9"/>
  <c r="E14" i="9"/>
  <c r="E11" i="9"/>
  <c r="E8" i="9"/>
  <c r="F29" i="11" l="1"/>
  <c r="D29" i="11"/>
  <c r="D28" i="11"/>
  <c r="F28" i="11" s="1"/>
  <c r="D27" i="11"/>
  <c r="F27" i="11" s="1"/>
  <c r="F26" i="11"/>
  <c r="D26" i="11"/>
  <c r="F25" i="11"/>
  <c r="D24" i="11"/>
  <c r="F24" i="11" s="1"/>
  <c r="F23" i="11"/>
  <c r="G31" i="11" s="1"/>
  <c r="D23" i="11"/>
  <c r="D30" i="11" s="1"/>
  <c r="D12" i="11"/>
  <c r="D13" i="11" s="1"/>
  <c r="D9" i="11"/>
  <c r="D7" i="11"/>
  <c r="D6" i="11"/>
  <c r="D8" i="11" s="1"/>
  <c r="D5" i="11"/>
  <c r="D10" i="11" l="1"/>
  <c r="D11" i="11" s="1"/>
  <c r="D14" i="11"/>
  <c r="D18" i="11" l="1"/>
  <c r="D32" i="11" s="1"/>
  <c r="D33" i="11" s="1"/>
  <c r="F19" i="11"/>
  <c r="G20" i="11" s="1"/>
  <c r="G32" i="11" s="1"/>
  <c r="G34" i="11" s="1"/>
  <c r="G36" i="11" s="1"/>
  <c r="G38" i="11" s="1"/>
  <c r="G39" i="11" s="1"/>
  <c r="F24" i="7" l="1"/>
  <c r="F23" i="7"/>
  <c r="D24" i="7"/>
  <c r="D23" i="7"/>
  <c r="D29" i="10"/>
  <c r="F29" i="10" s="1"/>
  <c r="D28" i="10"/>
  <c r="F28" i="10" s="1"/>
  <c r="D27" i="10"/>
  <c r="F27" i="10" s="1"/>
  <c r="F26" i="10"/>
  <c r="D26" i="10"/>
  <c r="F25" i="10"/>
  <c r="D24" i="10"/>
  <c r="F24" i="10" s="1"/>
  <c r="F23" i="10"/>
  <c r="D23" i="10"/>
  <c r="D30" i="10" s="1"/>
  <c r="D15" i="10"/>
  <c r="D12" i="10"/>
  <c r="D9" i="10"/>
  <c r="D7" i="10"/>
  <c r="D6" i="10"/>
  <c r="D8" i="10" s="1"/>
  <c r="D5" i="10"/>
  <c r="D11" i="10" l="1"/>
  <c r="G31" i="10"/>
  <c r="D10" i="10"/>
  <c r="D13" i="10"/>
  <c r="D14" i="10" s="1"/>
  <c r="D16" i="10"/>
  <c r="D17" i="10" s="1"/>
  <c r="F19" i="10" l="1"/>
  <c r="G20" i="10" s="1"/>
  <c r="G32" i="10" s="1"/>
  <c r="G34" i="10" s="1"/>
  <c r="D18" i="10"/>
  <c r="D32" i="10" s="1"/>
  <c r="D33" i="10" s="1"/>
  <c r="G35" i="10" l="1"/>
  <c r="G36" i="10" s="1"/>
  <c r="G38" i="10" s="1"/>
  <c r="G39" i="10" s="1"/>
  <c r="D28" i="9" l="1"/>
  <c r="D24" i="9"/>
  <c r="F24" i="9" s="1"/>
  <c r="D23" i="9"/>
  <c r="F23" i="9" s="1"/>
  <c r="D29" i="7" l="1"/>
  <c r="F28" i="7"/>
  <c r="D27" i="7"/>
  <c r="F27" i="7" s="1"/>
  <c r="D26" i="7"/>
  <c r="F26" i="7" s="1"/>
  <c r="F25" i="7"/>
  <c r="D15" i="7"/>
  <c r="D16" i="7" s="1"/>
  <c r="D12" i="7"/>
  <c r="D13" i="7" s="1"/>
  <c r="D9" i="7"/>
  <c r="D10" i="7" s="1"/>
  <c r="D7" i="7"/>
  <c r="D5" i="7"/>
  <c r="D6" i="7" s="1"/>
  <c r="F29" i="7" l="1"/>
  <c r="G31" i="7" s="1"/>
  <c r="D14" i="7"/>
  <c r="D17" i="7"/>
  <c r="D8" i="7"/>
  <c r="D30" i="7"/>
  <c r="D11" i="7"/>
  <c r="D18" i="7" l="1"/>
  <c r="D32" i="7" s="1"/>
  <c r="D33" i="7" s="1"/>
  <c r="F19" i="7"/>
  <c r="G20" i="7" s="1"/>
  <c r="G32" i="7" s="1"/>
  <c r="G34" i="7" s="1"/>
  <c r="G36" i="7" l="1"/>
  <c r="G37" i="7" s="1"/>
  <c r="D7" i="9"/>
  <c r="D29" i="9" l="1"/>
  <c r="F28" i="9"/>
  <c r="D27" i="9"/>
  <c r="F27" i="9" s="1"/>
  <c r="D26" i="9"/>
  <c r="F26" i="9" s="1"/>
  <c r="F25" i="9"/>
  <c r="D15" i="9"/>
  <c r="D16" i="9" s="1"/>
  <c r="D12" i="9"/>
  <c r="D13" i="9" s="1"/>
  <c r="D9" i="9"/>
  <c r="D10" i="9" s="1"/>
  <c r="D5" i="9"/>
  <c r="D6" i="9" s="1"/>
  <c r="F29" i="9" l="1"/>
  <c r="G31" i="9" s="1"/>
  <c r="D30" i="9"/>
  <c r="D8" i="9"/>
  <c r="D11" i="9"/>
  <c r="D14" i="9"/>
  <c r="D17" i="9"/>
  <c r="D18" i="9" l="1"/>
  <c r="D32" i="9" s="1"/>
  <c r="D33" i="9" s="1"/>
  <c r="F19" i="9"/>
  <c r="G20" i="9" s="1"/>
  <c r="G32" i="9" s="1"/>
  <c r="G34" i="9" l="1"/>
  <c r="G35" i="9" l="1"/>
  <c r="G36" i="9" s="1"/>
  <c r="G38" i="9" s="1"/>
  <c r="B6" i="3"/>
  <c r="B7" i="3" s="1"/>
  <c r="B9" i="3" s="1"/>
  <c r="B10" i="3" s="1"/>
  <c r="B11" i="3" s="1"/>
  <c r="B15" i="3" s="1"/>
  <c r="B17" i="3" s="1"/>
  <c r="B18" i="3" s="1"/>
  <c r="C18" i="3" s="1"/>
  <c r="I5" i="3"/>
  <c r="H5" i="3"/>
  <c r="J5" i="3" s="1"/>
  <c r="K5" i="3" s="1"/>
  <c r="L5" i="3" s="1"/>
  <c r="M5" i="3" s="1"/>
  <c r="N5" i="3" s="1"/>
  <c r="O5" i="3" s="1"/>
  <c r="P5" i="3" s="1"/>
  <c r="Q5" i="3" s="1"/>
  <c r="I4" i="3"/>
  <c r="H4" i="3"/>
  <c r="J4" i="3" s="1"/>
  <c r="K4" i="3" s="1"/>
  <c r="L4" i="3" s="1"/>
  <c r="M4" i="3" s="1"/>
  <c r="N4" i="3" s="1"/>
  <c r="O4" i="3" s="1"/>
  <c r="P4" i="3" s="1"/>
  <c r="Q4" i="3" s="1"/>
  <c r="C9" i="2"/>
  <c r="C8" i="2"/>
  <c r="B9" i="2"/>
  <c r="B8" i="2"/>
  <c r="C14" i="2"/>
  <c r="C13" i="2"/>
  <c r="B14" i="2"/>
  <c r="B13" i="2"/>
  <c r="C4" i="2"/>
  <c r="B4" i="2"/>
  <c r="B3" i="2"/>
  <c r="C3" i="2"/>
  <c r="H39" i="1"/>
  <c r="H38" i="1"/>
  <c r="H37" i="1"/>
  <c r="H36" i="1"/>
  <c r="H35" i="1"/>
  <c r="H34" i="1"/>
  <c r="H33" i="1"/>
  <c r="H32" i="1"/>
  <c r="H31" i="1"/>
  <c r="H30" i="1"/>
  <c r="H29" i="1"/>
  <c r="G9" i="1"/>
  <c r="H9" i="1"/>
  <c r="D9" i="1"/>
  <c r="E9" i="1" s="1"/>
  <c r="G27" i="1"/>
  <c r="H27" i="1"/>
  <c r="H41" i="1"/>
  <c r="G20" i="1"/>
  <c r="H20" i="1"/>
  <c r="D27" i="1"/>
  <c r="H28" i="1"/>
  <c r="H25" i="1"/>
  <c r="H24" i="1"/>
  <c r="H23" i="1"/>
  <c r="G17" i="1"/>
  <c r="H17" i="1"/>
  <c r="H16" i="1"/>
  <c r="E39" i="1"/>
  <c r="E38" i="1"/>
  <c r="E37" i="1"/>
  <c r="E36" i="1"/>
  <c r="E35" i="1"/>
  <c r="E34" i="1"/>
  <c r="E33" i="1"/>
  <c r="E32" i="1"/>
  <c r="E31" i="1"/>
  <c r="E30" i="1"/>
  <c r="E29" i="1"/>
  <c r="E28" i="1"/>
  <c r="D17" i="1"/>
  <c r="E17" i="1"/>
  <c r="D20" i="1"/>
  <c r="D41" i="1" s="1"/>
  <c r="E25" i="1"/>
  <c r="E24" i="1"/>
  <c r="E23" i="1"/>
  <c r="E22" i="1"/>
  <c r="E21" i="1"/>
  <c r="E16" i="1"/>
  <c r="E15" i="1"/>
  <c r="E14" i="1"/>
  <c r="E13" i="1"/>
  <c r="E8" i="1"/>
  <c r="E27" i="1"/>
  <c r="E41" i="1" s="1"/>
  <c r="C49" i="1"/>
  <c r="G41" i="1"/>
  <c r="G39" i="9" l="1"/>
  <c r="G45" i="1"/>
  <c r="D43" i="1"/>
  <c r="E43" i="1" s="1"/>
  <c r="D45" i="1"/>
  <c r="D50" i="1" s="1"/>
  <c r="G43" i="1"/>
  <c r="H43" i="1" s="1"/>
  <c r="E20" i="1"/>
  <c r="H45" i="1" l="1"/>
  <c r="G48" i="1"/>
  <c r="E45" i="1"/>
  <c r="E50" i="1" s="1"/>
  <c r="D48" i="1"/>
  <c r="H48" i="1" s="1"/>
  <c r="H50" i="1" s="1"/>
  <c r="E48" i="1" l="1"/>
  <c r="G50" i="1"/>
</calcChain>
</file>

<file path=xl/sharedStrings.xml><?xml version="1.0" encoding="utf-8"?>
<sst xmlns="http://schemas.openxmlformats.org/spreadsheetml/2006/main" count="270" uniqueCount="120">
  <si>
    <t xml:space="preserve"> </t>
  </si>
  <si>
    <t>Revenue:</t>
  </si>
  <si>
    <t>Expenses:</t>
  </si>
  <si>
    <t>Payroll</t>
  </si>
  <si>
    <t>Workers Comp</t>
  </si>
  <si>
    <t>Rent</t>
  </si>
  <si>
    <t>Utilities</t>
  </si>
  <si>
    <t>Transportation</t>
  </si>
  <si>
    <t>IT</t>
  </si>
  <si>
    <t>Staff Indirect Cost (Admission to Events)</t>
  </si>
  <si>
    <t>Training</t>
  </si>
  <si>
    <t>Maintainence of Building</t>
  </si>
  <si>
    <t>Programming Materials</t>
  </si>
  <si>
    <t xml:space="preserve">Total expenses    </t>
  </si>
  <si>
    <t>Net Income (Loss)</t>
  </si>
  <si>
    <t>20 Individuals</t>
  </si>
  <si>
    <t>Program Manager 1:20</t>
  </si>
  <si>
    <t>Case Manager 1:20</t>
  </si>
  <si>
    <t xml:space="preserve">DSP (Training Specialist 1:4) </t>
  </si>
  <si>
    <t>Consultants</t>
  </si>
  <si>
    <t>QI/Incidents/Training</t>
  </si>
  <si>
    <t>Per Person</t>
  </si>
  <si>
    <t>Current Model</t>
  </si>
  <si>
    <t>Proposed Model</t>
  </si>
  <si>
    <t>** Calculations are based on 20 person program with a 1:4 ratio.</t>
  </si>
  <si>
    <t>Day Habilitation and                 Pre-Vocational Services</t>
  </si>
  <si>
    <t xml:space="preserve">Legal </t>
  </si>
  <si>
    <t>Accounting</t>
  </si>
  <si>
    <t>Billing Consultants</t>
  </si>
  <si>
    <t>Social Worker</t>
  </si>
  <si>
    <t>Benefits</t>
  </si>
  <si>
    <t>Other Costs</t>
  </si>
  <si>
    <t>Health Insurance</t>
  </si>
  <si>
    <t>Liability Insurance</t>
  </si>
  <si>
    <t>Telephone (Cell and Land)</t>
  </si>
  <si>
    <t>Administration (13%)</t>
  </si>
  <si>
    <t>Sub Total</t>
  </si>
  <si>
    <t>Total Costs</t>
  </si>
  <si>
    <t>85% of Total Revenue</t>
  </si>
  <si>
    <t>Total Revenue</t>
  </si>
  <si>
    <t>Existing empl readiness and day hab rates</t>
  </si>
  <si>
    <t>New KR empl readiness rates</t>
  </si>
  <si>
    <t>New KR day hab rates</t>
  </si>
  <si>
    <t>Day Hab</t>
  </si>
  <si>
    <t>Pre-Voc</t>
  </si>
  <si>
    <t>Hourly wage</t>
  </si>
  <si>
    <t>Hours per year</t>
  </si>
  <si>
    <t>Productivity adjustment (11%)</t>
  </si>
  <si>
    <t>Benefits and fringe (20%)</t>
  </si>
  <si>
    <t>Non-billable hours adjustment (20%)</t>
  </si>
  <si>
    <t>Direct service rate</t>
  </si>
  <si>
    <t>Indirect costs (20%)</t>
  </si>
  <si>
    <t>Administrative and General (13%)</t>
  </si>
  <si>
    <t>Occupancy adjustment (15%)</t>
  </si>
  <si>
    <t>Hourly rate</t>
  </si>
  <si>
    <t>Hourly rate per person (1:4 staffing)</t>
  </si>
  <si>
    <t>Per-unit rate</t>
  </si>
  <si>
    <t>hourly wage</t>
  </si>
  <si>
    <t>Day habilitation</t>
  </si>
  <si>
    <t>260 days</t>
  </si>
  <si>
    <t>Empl readiness</t>
  </si>
  <si>
    <t>Productivity rate</t>
  </si>
  <si>
    <t>ERE</t>
  </si>
  <si>
    <t xml:space="preserve">Indirect </t>
  </si>
  <si>
    <t>Transportation $18</t>
  </si>
  <si>
    <t>13% A&amp;G</t>
  </si>
  <si>
    <t>Hourly Rate</t>
  </si>
  <si>
    <t>DDS Model</t>
  </si>
  <si>
    <t>DHCF Model</t>
  </si>
  <si>
    <t>DSP Staffing</t>
  </si>
  <si>
    <t>Rate</t>
  </si>
  <si>
    <t>Hours</t>
  </si>
  <si>
    <t>Program Manager</t>
  </si>
  <si>
    <t xml:space="preserve">Total Operating Days </t>
  </si>
  <si>
    <t>Total Cost</t>
  </si>
  <si>
    <t>Total</t>
  </si>
  <si>
    <t>Direct Staffing</t>
  </si>
  <si>
    <t>Rental Cost for facility</t>
  </si>
  <si>
    <t>12 mths</t>
  </si>
  <si>
    <t>Utilities-Electric</t>
  </si>
  <si>
    <t>Telephone</t>
  </si>
  <si>
    <t>Building Maintenance</t>
  </si>
  <si>
    <t>Sub-Total</t>
  </si>
  <si>
    <t>Total Direct Cost</t>
  </si>
  <si>
    <t>Admin</t>
  </si>
  <si>
    <t>Program Specialist</t>
  </si>
  <si>
    <t>Staff Training/Quality Mgmt</t>
  </si>
  <si>
    <t>Program Materials and Indirect</t>
  </si>
  <si>
    <t>Supplies for programming</t>
  </si>
  <si>
    <t>Nurse</t>
  </si>
  <si>
    <t xml:space="preserve">Total </t>
  </si>
  <si>
    <t>Overtime</t>
  </si>
  <si>
    <t>Per-person per day</t>
  </si>
  <si>
    <t>Per-people per day</t>
  </si>
  <si>
    <t>6 hour day</t>
  </si>
  <si>
    <t>day</t>
  </si>
  <si>
    <t>15 minute unit</t>
  </si>
  <si>
    <t>one to one</t>
  </si>
  <si>
    <t>hour</t>
  </si>
  <si>
    <t>fifteen minute unit</t>
  </si>
  <si>
    <t>sub-total</t>
  </si>
  <si>
    <t>Total  Cost</t>
  </si>
  <si>
    <t>New Hourly  rate 6 hour day Small Group</t>
  </si>
  <si>
    <t>1:3 people 15 minute unit</t>
  </si>
  <si>
    <t>Day Hab Small Group</t>
  </si>
  <si>
    <t>Day Hab Large Group</t>
  </si>
  <si>
    <t>Based upon 15 people</t>
  </si>
  <si>
    <t>Daily Perdiem for 1 client for Direct Staffing based upon 15 clients</t>
  </si>
  <si>
    <t>Based upon 30 people or more</t>
  </si>
  <si>
    <t>Daily Perdiem for 1 person for Direct Staffing based upon 30 people</t>
  </si>
  <si>
    <t>Employment Readiness</t>
  </si>
  <si>
    <t>Based upon 25 people or more</t>
  </si>
  <si>
    <t>Daily Rate based upon 260 days</t>
  </si>
  <si>
    <t>Daily Per-Diem based upon 85% percent attendance is 221 days</t>
  </si>
  <si>
    <t>$29,556 per year for 221 days</t>
  </si>
  <si>
    <t>$55,422 per year</t>
  </si>
  <si>
    <t>Daily Perdiem for 1 person for Direct Staffing based upon 25 people</t>
  </si>
  <si>
    <t>$26,005 per year</t>
  </si>
  <si>
    <t>Daily Per-Diem based upon 80% percent attendance is 208 days</t>
  </si>
  <si>
    <t xml:space="preserve">$44,892 for 208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</si>
</sst>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44" fontId="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8" fontId="1" fillId="0" borderId="0" xfId="2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38" fontId="1" fillId="0" borderId="0" xfId="2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2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9" fontId="1" fillId="0" borderId="0" xfId="2" applyNumberFormat="1" applyFont="1" applyBorder="1" applyAlignment="1">
      <alignment horizontal="center"/>
    </xf>
    <xf numFmtId="39" fontId="1" fillId="0" borderId="0" xfId="2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8" fontId="3" fillId="0" borderId="0" xfId="2" applyNumberFormat="1" applyFont="1" applyAlignment="1">
      <alignment horizontal="center"/>
    </xf>
    <xf numFmtId="44" fontId="3" fillId="0" borderId="0" xfId="2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4" fontId="3" fillId="0" borderId="0" xfId="2" applyFont="1" applyAlignment="1">
      <alignment horizontal="right"/>
    </xf>
    <xf numFmtId="44" fontId="1" fillId="0" borderId="0" xfId="2" applyFont="1" applyBorder="1" applyAlignment="1">
      <alignment horizontal="right"/>
    </xf>
    <xf numFmtId="44" fontId="3" fillId="2" borderId="0" xfId="2" applyFont="1" applyFill="1" applyBorder="1" applyAlignment="1">
      <alignment horizontal="center"/>
    </xf>
    <xf numFmtId="44" fontId="2" fillId="0" borderId="0" xfId="2" applyFont="1" applyAlignment="1">
      <alignment horizontal="center"/>
    </xf>
    <xf numFmtId="44" fontId="1" fillId="0" borderId="0" xfId="2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4" fontId="1" fillId="0" borderId="0" xfId="2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2" applyNumberFormat="1" applyFont="1" applyBorder="1" applyAlignment="1">
      <alignment horizontal="center"/>
    </xf>
    <xf numFmtId="39" fontId="3" fillId="0" borderId="0" xfId="2" applyNumberFormat="1" applyFont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1" fillId="0" borderId="1" xfId="2" applyNumberFormat="1" applyFont="1" applyFill="1" applyBorder="1" applyAlignment="1">
      <alignment horizontal="center"/>
    </xf>
    <xf numFmtId="44" fontId="1" fillId="0" borderId="1" xfId="2" applyFont="1" applyFill="1" applyBorder="1" applyAlignment="1">
      <alignment horizontal="right"/>
    </xf>
    <xf numFmtId="44" fontId="1" fillId="0" borderId="1" xfId="2" applyFont="1" applyFill="1" applyBorder="1" applyAlignment="1">
      <alignment horizontal="center"/>
    </xf>
    <xf numFmtId="44" fontId="3" fillId="2" borderId="1" xfId="2" applyNumberFormat="1" applyFont="1" applyFill="1" applyBorder="1" applyAlignment="1">
      <alignment horizontal="center"/>
    </xf>
    <xf numFmtId="44" fontId="3" fillId="2" borderId="1" xfId="2" applyFont="1" applyFill="1" applyBorder="1" applyAlignment="1">
      <alignment horizontal="right"/>
    </xf>
    <xf numFmtId="44" fontId="3" fillId="2" borderId="1" xfId="2" applyFont="1" applyFill="1" applyBorder="1" applyAlignment="1">
      <alignment horizontal="center"/>
    </xf>
    <xf numFmtId="39" fontId="3" fillId="2" borderId="1" xfId="2" applyNumberFormat="1" applyFont="1" applyFill="1" applyBorder="1" applyAlignment="1">
      <alignment horizontal="center"/>
    </xf>
    <xf numFmtId="39" fontId="3" fillId="2" borderId="1" xfId="0" applyNumberFormat="1" applyFont="1" applyFill="1" applyBorder="1" applyAlignment="1">
      <alignment horizontal="center"/>
    </xf>
    <xf numFmtId="44" fontId="5" fillId="0" borderId="0" xfId="2" applyFont="1"/>
    <xf numFmtId="0" fontId="7" fillId="0" borderId="1" xfId="0" applyFont="1" applyBorder="1"/>
    <xf numFmtId="44" fontId="7" fillId="0" borderId="1" xfId="2" applyFont="1" applyBorder="1"/>
    <xf numFmtId="0" fontId="8" fillId="0" borderId="1" xfId="0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9" fontId="9" fillId="0" borderId="1" xfId="0" applyNumberFormat="1" applyFont="1" applyBorder="1"/>
    <xf numFmtId="0" fontId="6" fillId="0" borderId="0" xfId="0" applyFont="1"/>
    <xf numFmtId="0" fontId="0" fillId="0" borderId="0" xfId="0" applyAlignment="1">
      <alignment textRotation="45"/>
    </xf>
    <xf numFmtId="44" fontId="5" fillId="0" borderId="0" xfId="2" applyFont="1"/>
    <xf numFmtId="44" fontId="0" fillId="0" borderId="0" xfId="0" applyNumberFormat="1"/>
    <xf numFmtId="9" fontId="0" fillId="0" borderId="0" xfId="0" applyNumberFormat="1"/>
    <xf numFmtId="164" fontId="5" fillId="0" borderId="0" xfId="2" applyNumberFormat="1" applyFont="1"/>
    <xf numFmtId="9" fontId="3" fillId="0" borderId="0" xfId="0" applyNumberFormat="1" applyFont="1"/>
    <xf numFmtId="165" fontId="5" fillId="0" borderId="0" xfId="3" applyNumberFormat="1" applyFont="1"/>
    <xf numFmtId="0" fontId="3" fillId="0" borderId="0" xfId="0" applyFont="1"/>
    <xf numFmtId="20" fontId="0" fillId="0" borderId="0" xfId="0" applyNumberFormat="1"/>
    <xf numFmtId="44" fontId="5" fillId="0" borderId="0" xfId="2" applyFont="1"/>
    <xf numFmtId="0" fontId="0" fillId="0" borderId="0" xfId="0" applyAlignment="1">
      <alignment textRotation="135"/>
    </xf>
    <xf numFmtId="0" fontId="0" fillId="0" borderId="1" xfId="0" applyBorder="1"/>
    <xf numFmtId="44" fontId="5" fillId="0" borderId="1" xfId="2" applyFont="1" applyBorder="1"/>
    <xf numFmtId="164" fontId="5" fillId="0" borderId="1" xfId="2" applyNumberFormat="1" applyFont="1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44" fontId="5" fillId="0" borderId="1" xfId="2" applyFont="1" applyBorder="1"/>
    <xf numFmtId="0" fontId="0" fillId="0" borderId="1" xfId="0" applyBorder="1" applyAlignment="1">
      <alignment vertical="center"/>
    </xf>
    <xf numFmtId="44" fontId="5" fillId="0" borderId="1" xfId="2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5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43" fontId="0" fillId="0" borderId="0" xfId="1" applyFont="1"/>
    <xf numFmtId="3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1" applyNumberFormat="1" applyFont="1"/>
    <xf numFmtId="4" fontId="0" fillId="0" borderId="0" xfId="0" applyNumberFormat="1"/>
    <xf numFmtId="43" fontId="0" fillId="0" borderId="0" xfId="0" applyNumberFormat="1"/>
    <xf numFmtId="9" fontId="6" fillId="0" borderId="0" xfId="0" applyNumberFormat="1" applyFont="1"/>
    <xf numFmtId="43" fontId="6" fillId="0" borderId="0" xfId="1" applyFont="1"/>
    <xf numFmtId="2" fontId="6" fillId="0" borderId="0" xfId="0" applyNumberFormat="1" applyFont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0" fontId="0" fillId="6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6" fillId="5" borderId="0" xfId="0" applyFont="1" applyFill="1"/>
    <xf numFmtId="0" fontId="6" fillId="4" borderId="0" xfId="0" applyFont="1" applyFill="1" applyAlignment="1">
      <alignment horizontal="center" wrapText="1"/>
    </xf>
    <xf numFmtId="8" fontId="0" fillId="0" borderId="0" xfId="0" applyNumberFormat="1"/>
    <xf numFmtId="0" fontId="0" fillId="7" borderId="0" xfId="0" applyFill="1"/>
    <xf numFmtId="0" fontId="6" fillId="7" borderId="0" xfId="0" applyFont="1" applyFill="1" applyAlignment="1">
      <alignment horizontal="center" wrapText="1"/>
    </xf>
    <xf numFmtId="44" fontId="0" fillId="0" borderId="0" xfId="2" applyFont="1"/>
    <xf numFmtId="44" fontId="0" fillId="4" borderId="0" xfId="2" applyFont="1" applyFill="1"/>
    <xf numFmtId="44" fontId="0" fillId="6" borderId="0" xfId="2" applyFont="1" applyFill="1"/>
    <xf numFmtId="44" fontId="0" fillId="5" borderId="0" xfId="2" applyFont="1" applyFill="1"/>
    <xf numFmtId="44" fontId="0" fillId="3" borderId="0" xfId="2" applyFont="1" applyFill="1"/>
    <xf numFmtId="0" fontId="6" fillId="7" borderId="0" xfId="0" applyFont="1" applyFill="1"/>
    <xf numFmtId="9" fontId="0" fillId="7" borderId="0" xfId="0" applyNumberFormat="1" applyFill="1"/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0"/>
  <sheetViews>
    <sheetView topLeftCell="A7" workbookViewId="0">
      <selection activeCell="E34" sqref="E34"/>
    </sheetView>
  </sheetViews>
  <sheetFormatPr defaultRowHeight="12.75" x14ac:dyDescent="0.2"/>
  <cols>
    <col min="1" max="1" width="26.85546875" style="1" customWidth="1"/>
    <col min="2" max="2" width="1.28515625" style="1" customWidth="1"/>
    <col min="3" max="3" width="1.42578125" style="1" customWidth="1"/>
    <col min="4" max="4" width="15.42578125" style="1" customWidth="1"/>
    <col min="5" max="6" width="13.28515625" style="1" customWidth="1"/>
    <col min="7" max="7" width="13.42578125" style="1" customWidth="1"/>
    <col min="8" max="8" width="12.42578125" style="2" customWidth="1"/>
    <col min="9" max="9" width="12.5703125" style="2" bestFit="1" customWidth="1"/>
    <col min="10" max="10" width="13.42578125" style="1" customWidth="1"/>
    <col min="11" max="11" width="12.28515625" style="1" customWidth="1"/>
    <col min="12" max="12" width="12" style="1" bestFit="1" customWidth="1"/>
    <col min="13" max="14" width="10.28515625" style="1" bestFit="1" customWidth="1"/>
    <col min="15" max="15" width="11.28515625" style="1" bestFit="1" customWidth="1"/>
    <col min="16" max="16" width="10.28515625" style="1" bestFit="1" customWidth="1"/>
    <col min="17" max="18" width="11.28515625" style="1" bestFit="1" customWidth="1"/>
    <col min="19" max="19" width="10.28515625" style="1" bestFit="1" customWidth="1"/>
    <col min="20" max="16384" width="9.140625" style="1"/>
  </cols>
  <sheetData>
    <row r="2" spans="1:19" ht="25.5" x14ac:dyDescent="0.2">
      <c r="A2" s="18" t="s">
        <v>25</v>
      </c>
    </row>
    <row r="3" spans="1:19" x14ac:dyDescent="0.2">
      <c r="A3" s="1" t="s">
        <v>0</v>
      </c>
    </row>
    <row r="4" spans="1:19" x14ac:dyDescent="0.2">
      <c r="C4" s="110" t="s">
        <v>22</v>
      </c>
      <c r="D4" s="110"/>
      <c r="E4" s="15"/>
      <c r="F4" s="15"/>
      <c r="G4" s="15" t="s">
        <v>23</v>
      </c>
      <c r="I4" s="1"/>
      <c r="K4" s="1" t="s">
        <v>0</v>
      </c>
    </row>
    <row r="5" spans="1:19" x14ac:dyDescent="0.2">
      <c r="A5" s="33" t="s">
        <v>1</v>
      </c>
      <c r="C5" s="1" t="s">
        <v>0</v>
      </c>
      <c r="I5" s="1"/>
    </row>
    <row r="6" spans="1:19" x14ac:dyDescent="0.2">
      <c r="A6" s="1" t="s">
        <v>0</v>
      </c>
      <c r="D6" s="3" t="s">
        <v>15</v>
      </c>
      <c r="E6" s="21" t="s">
        <v>21</v>
      </c>
      <c r="F6" s="3"/>
      <c r="G6" s="3" t="s">
        <v>15</v>
      </c>
      <c r="H6" s="27" t="s">
        <v>21</v>
      </c>
      <c r="I6" s="34"/>
      <c r="J6" s="34"/>
      <c r="K6" s="34" t="s">
        <v>0</v>
      </c>
      <c r="L6" s="34"/>
      <c r="M6" s="34"/>
      <c r="N6" s="34"/>
      <c r="O6" s="34"/>
      <c r="P6" s="34"/>
      <c r="Q6" s="34"/>
      <c r="R6" s="34"/>
      <c r="S6" s="34"/>
    </row>
    <row r="7" spans="1:19" x14ac:dyDescent="0.2">
      <c r="A7" s="4" t="s">
        <v>0</v>
      </c>
      <c r="C7" s="9"/>
      <c r="D7" s="5"/>
      <c r="E7" s="22"/>
      <c r="F7" s="35"/>
      <c r="G7" s="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x14ac:dyDescent="0.2">
      <c r="A8" s="14" t="s">
        <v>39</v>
      </c>
      <c r="B8" s="2"/>
      <c r="C8" s="9"/>
      <c r="D8" s="41">
        <v>474000</v>
      </c>
      <c r="E8" s="42">
        <f>SUM(D8/20)</f>
        <v>23700</v>
      </c>
      <c r="F8" s="9"/>
      <c r="G8" s="43">
        <v>317580</v>
      </c>
      <c r="H8" s="43">
        <v>15879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">
      <c r="A9" s="14" t="s">
        <v>38</v>
      </c>
      <c r="B9" s="2"/>
      <c r="C9" s="9"/>
      <c r="D9" s="44">
        <f>SUM(D8*0.85)</f>
        <v>402900</v>
      </c>
      <c r="E9" s="45">
        <f>SUM(D9/20)</f>
        <v>20145</v>
      </c>
      <c r="F9" s="9"/>
      <c r="G9" s="46">
        <f>SUM(G8*0.85)</f>
        <v>269943</v>
      </c>
      <c r="H9" s="46">
        <f>SUM(G9/20)</f>
        <v>13497.15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2">
      <c r="A10" s="15"/>
      <c r="B10" s="2"/>
      <c r="C10" s="9"/>
      <c r="D10" s="32"/>
      <c r="E10" s="2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33" t="s">
        <v>2</v>
      </c>
      <c r="D11" s="7"/>
      <c r="E11" s="23"/>
      <c r="I11" s="1"/>
    </row>
    <row r="12" spans="1:19" x14ac:dyDescent="0.2">
      <c r="A12" s="14"/>
      <c r="B12" s="15"/>
      <c r="C12" s="15"/>
      <c r="D12" s="16" t="s">
        <v>0</v>
      </c>
      <c r="E12" s="24"/>
      <c r="F12" s="2"/>
      <c r="G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0" t="s">
        <v>3</v>
      </c>
      <c r="B13" s="15"/>
      <c r="C13" s="15"/>
      <c r="D13" s="46">
        <v>242800</v>
      </c>
      <c r="E13" s="45">
        <f t="shared" ref="E13:E25" si="0">SUM(D13/20)</f>
        <v>12140</v>
      </c>
      <c r="F13" s="2"/>
      <c r="G13" s="45">
        <v>242800</v>
      </c>
      <c r="H13" s="45">
        <v>12140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s="8" t="s">
        <v>18</v>
      </c>
      <c r="D14" s="9">
        <v>124800</v>
      </c>
      <c r="E14" s="25">
        <f t="shared" si="0"/>
        <v>6240</v>
      </c>
      <c r="F14" s="2"/>
      <c r="G14" s="25">
        <v>124800</v>
      </c>
      <c r="H14" s="25">
        <v>6240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s="8" t="s">
        <v>16</v>
      </c>
      <c r="D15" s="9">
        <v>60000</v>
      </c>
      <c r="E15" s="25">
        <f t="shared" si="0"/>
        <v>3000</v>
      </c>
      <c r="F15" s="2"/>
      <c r="G15" s="25">
        <v>60000</v>
      </c>
      <c r="H15" s="25">
        <v>3000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">
      <c r="A16" s="8" t="s">
        <v>17</v>
      </c>
      <c r="D16" s="9">
        <v>40000</v>
      </c>
      <c r="E16" s="25">
        <f t="shared" si="0"/>
        <v>2000</v>
      </c>
      <c r="F16" s="2"/>
      <c r="G16" s="25">
        <v>40000</v>
      </c>
      <c r="H16" s="25">
        <f>SUM(G16/20)</f>
        <v>2000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">
      <c r="A17" s="8" t="s">
        <v>30</v>
      </c>
      <c r="D17" s="9">
        <f>SUM(D13*0.28)</f>
        <v>67984</v>
      </c>
      <c r="E17" s="25">
        <f t="shared" si="0"/>
        <v>3399.2</v>
      </c>
      <c r="F17" s="2"/>
      <c r="G17" s="25">
        <f>SUM(G13*0.28)</f>
        <v>67984</v>
      </c>
      <c r="H17" s="25">
        <f>SUM(G17/20)</f>
        <v>3399.2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8"/>
      <c r="D18" s="9"/>
      <c r="E18" s="25"/>
      <c r="F18" s="2"/>
      <c r="G18" s="25"/>
      <c r="H18" s="25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8"/>
      <c r="D19" s="9"/>
      <c r="E19" s="25"/>
      <c r="F19" s="2"/>
      <c r="G19" s="25"/>
      <c r="H19" s="25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s="20" t="s">
        <v>19</v>
      </c>
      <c r="D20" s="46">
        <f>SUM(D21:D25)</f>
        <v>31000</v>
      </c>
      <c r="E20" s="45">
        <f t="shared" si="0"/>
        <v>1550</v>
      </c>
      <c r="F20" s="2"/>
      <c r="G20" s="46">
        <f>SUM(G21:G25)</f>
        <v>31000</v>
      </c>
      <c r="H20" s="45">
        <f>SUM(G20/20)</f>
        <v>1550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8" t="s">
        <v>28</v>
      </c>
      <c r="D21" s="9">
        <v>6000</v>
      </c>
      <c r="E21" s="25">
        <f t="shared" si="0"/>
        <v>300</v>
      </c>
      <c r="F21" s="2"/>
      <c r="G21" s="25">
        <v>6000</v>
      </c>
      <c r="H21" s="25">
        <v>600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s="8" t="s">
        <v>20</v>
      </c>
      <c r="D22" s="9">
        <v>12000</v>
      </c>
      <c r="E22" s="25">
        <f t="shared" si="0"/>
        <v>600</v>
      </c>
      <c r="F22" s="2"/>
      <c r="G22" s="25">
        <v>12000</v>
      </c>
      <c r="H22" s="25">
        <v>600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8" t="s">
        <v>26</v>
      </c>
      <c r="D23" s="9">
        <v>5000</v>
      </c>
      <c r="E23" s="25">
        <f t="shared" si="0"/>
        <v>250</v>
      </c>
      <c r="F23" s="28"/>
      <c r="G23" s="25">
        <v>5000</v>
      </c>
      <c r="H23" s="25">
        <f>SUM(G23/20)</f>
        <v>250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8" t="s">
        <v>27</v>
      </c>
      <c r="D24" s="9">
        <v>4500</v>
      </c>
      <c r="E24" s="25">
        <f t="shared" si="0"/>
        <v>225</v>
      </c>
      <c r="F24" s="28"/>
      <c r="G24" s="25">
        <v>4500</v>
      </c>
      <c r="H24" s="25">
        <f>SUM(G24/20)</f>
        <v>225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8" t="s">
        <v>29</v>
      </c>
      <c r="D25" s="9">
        <v>3500</v>
      </c>
      <c r="E25" s="25">
        <f t="shared" si="0"/>
        <v>175</v>
      </c>
      <c r="F25" s="28"/>
      <c r="G25" s="25">
        <v>3500</v>
      </c>
      <c r="H25" s="25">
        <f>SUM(G25/20)</f>
        <v>175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8"/>
      <c r="D26" s="9"/>
      <c r="E26" s="25"/>
      <c r="F26" s="28"/>
      <c r="G26" s="25"/>
      <c r="H26" s="25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20" t="s">
        <v>31</v>
      </c>
      <c r="D27" s="46">
        <f>SUM(D28:D39)</f>
        <v>135540</v>
      </c>
      <c r="E27" s="45">
        <f t="shared" ref="E27:E39" si="1">SUM(D27/20)</f>
        <v>6777</v>
      </c>
      <c r="F27" s="28"/>
      <c r="G27" s="46">
        <f>SUM(G28:G39)</f>
        <v>135540</v>
      </c>
      <c r="H27" s="45">
        <f>SUM(G27/20)</f>
        <v>6777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8" t="s">
        <v>32</v>
      </c>
      <c r="D28" s="9">
        <v>22640</v>
      </c>
      <c r="E28" s="25">
        <f t="shared" si="1"/>
        <v>1132</v>
      </c>
      <c r="F28" s="28"/>
      <c r="G28" s="25">
        <v>22640</v>
      </c>
      <c r="H28" s="25">
        <f t="shared" ref="H28:H39" si="2">SUM(G28/20)</f>
        <v>1132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8" t="s">
        <v>33</v>
      </c>
      <c r="D29" s="9">
        <v>5000</v>
      </c>
      <c r="E29" s="25">
        <f t="shared" si="1"/>
        <v>250</v>
      </c>
      <c r="F29" s="2"/>
      <c r="G29" s="25">
        <v>5000</v>
      </c>
      <c r="H29" s="25">
        <f t="shared" si="2"/>
        <v>250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8" t="s">
        <v>4</v>
      </c>
      <c r="D30" s="9">
        <v>4500</v>
      </c>
      <c r="E30" s="25">
        <f t="shared" si="1"/>
        <v>225</v>
      </c>
      <c r="F30" s="2"/>
      <c r="G30" s="25">
        <v>4500</v>
      </c>
      <c r="H30" s="25">
        <f t="shared" si="2"/>
        <v>225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8" t="s">
        <v>5</v>
      </c>
      <c r="D31" s="9">
        <v>60000</v>
      </c>
      <c r="E31" s="25">
        <f t="shared" si="1"/>
        <v>3000</v>
      </c>
      <c r="F31" s="2"/>
      <c r="G31" s="25">
        <v>60000</v>
      </c>
      <c r="H31" s="25">
        <f t="shared" si="2"/>
        <v>3000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8" t="s">
        <v>6</v>
      </c>
      <c r="D32" s="9">
        <v>9700</v>
      </c>
      <c r="E32" s="25">
        <f t="shared" si="1"/>
        <v>485</v>
      </c>
      <c r="F32" s="2"/>
      <c r="G32" s="25">
        <v>9700</v>
      </c>
      <c r="H32" s="25">
        <f t="shared" si="2"/>
        <v>485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8" t="s">
        <v>34</v>
      </c>
      <c r="D33" s="9">
        <v>6500</v>
      </c>
      <c r="E33" s="25">
        <f t="shared" si="1"/>
        <v>325</v>
      </c>
      <c r="F33" s="2"/>
      <c r="G33" s="25">
        <v>6500</v>
      </c>
      <c r="H33" s="25">
        <f t="shared" si="2"/>
        <v>325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8" t="s">
        <v>7</v>
      </c>
      <c r="D34" s="9">
        <v>5000</v>
      </c>
      <c r="E34" s="25">
        <f t="shared" si="1"/>
        <v>250</v>
      </c>
      <c r="F34" s="2"/>
      <c r="G34" s="25">
        <v>5000</v>
      </c>
      <c r="H34" s="25">
        <f t="shared" si="2"/>
        <v>250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8" t="s">
        <v>8</v>
      </c>
      <c r="D35" s="9">
        <v>2200</v>
      </c>
      <c r="E35" s="25">
        <f t="shared" si="1"/>
        <v>110</v>
      </c>
      <c r="F35" s="2"/>
      <c r="G35" s="25">
        <v>2200</v>
      </c>
      <c r="H35" s="25">
        <f t="shared" si="2"/>
        <v>110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5.5" x14ac:dyDescent="0.2">
      <c r="A36" s="10" t="s">
        <v>9</v>
      </c>
      <c r="D36" s="9">
        <v>6000</v>
      </c>
      <c r="E36" s="25">
        <f t="shared" si="1"/>
        <v>300</v>
      </c>
      <c r="F36" s="2"/>
      <c r="G36" s="25">
        <v>6000</v>
      </c>
      <c r="H36" s="25">
        <f t="shared" si="2"/>
        <v>300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8" t="s">
        <v>10</v>
      </c>
      <c r="D37" s="9">
        <v>5000</v>
      </c>
      <c r="E37" s="25">
        <f t="shared" si="1"/>
        <v>250</v>
      </c>
      <c r="F37" s="9"/>
      <c r="G37" s="25">
        <v>5000</v>
      </c>
      <c r="H37" s="25">
        <f t="shared" si="2"/>
        <v>250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8" t="s">
        <v>11</v>
      </c>
      <c r="D38" s="9">
        <v>5000</v>
      </c>
      <c r="E38" s="25">
        <f t="shared" si="1"/>
        <v>250</v>
      </c>
      <c r="F38" s="9"/>
      <c r="G38" s="25">
        <v>5000</v>
      </c>
      <c r="H38" s="25">
        <f t="shared" si="2"/>
        <v>250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8" t="s">
        <v>12</v>
      </c>
      <c r="D39" s="9">
        <v>4000</v>
      </c>
      <c r="E39" s="25">
        <f t="shared" si="1"/>
        <v>200</v>
      </c>
      <c r="F39" s="40"/>
      <c r="G39" s="25">
        <v>4000</v>
      </c>
      <c r="H39" s="25">
        <f t="shared" si="2"/>
        <v>200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8"/>
      <c r="D40" s="9"/>
      <c r="E40" s="9"/>
      <c r="F40" s="40"/>
      <c r="G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0" t="s">
        <v>36</v>
      </c>
      <c r="B41" s="29"/>
      <c r="C41" s="29"/>
      <c r="D41" s="26">
        <f>SUM(D27+D20+D13)</f>
        <v>409340</v>
      </c>
      <c r="E41" s="26">
        <f>SUM(E27:E40)</f>
        <v>13554</v>
      </c>
      <c r="F41" s="40"/>
      <c r="G41" s="26">
        <f>SUM(G27+G20+G13)</f>
        <v>409340</v>
      </c>
      <c r="H41" s="26">
        <f>SUM(H27:H40)</f>
        <v>13554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8"/>
      <c r="D42" s="9"/>
      <c r="E42" s="9"/>
      <c r="F42" s="40"/>
      <c r="G42" s="9"/>
      <c r="H42" s="9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30" t="s">
        <v>35</v>
      </c>
      <c r="D43" s="26">
        <f>SUM(D41*0.013)</f>
        <v>5321.42</v>
      </c>
      <c r="E43" s="26">
        <f>SUM(D43/20)</f>
        <v>266.07100000000003</v>
      </c>
      <c r="F43" s="40"/>
      <c r="G43" s="26">
        <f>SUM(G41*0.013)</f>
        <v>5321.42</v>
      </c>
      <c r="H43" s="26">
        <f>SUM(G43/20)</f>
        <v>266.07100000000003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4"/>
      <c r="D44" s="9"/>
      <c r="E44" s="2"/>
      <c r="F44" s="40"/>
      <c r="G44" s="9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30" t="s">
        <v>37</v>
      </c>
      <c r="B45" s="31"/>
      <c r="C45" s="31"/>
      <c r="D45" s="46">
        <f>SUM(D41:D43)</f>
        <v>414661.42</v>
      </c>
      <c r="E45" s="46">
        <f>SUM(D45/20)</f>
        <v>20733.071</v>
      </c>
      <c r="F45" s="28"/>
      <c r="G45" s="46">
        <f>SUM(G41:G43)</f>
        <v>414661.42</v>
      </c>
      <c r="H45" s="46">
        <f>SUM(G45/20)</f>
        <v>20733.071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4"/>
      <c r="D46" s="9"/>
      <c r="E46" s="2"/>
      <c r="F46" s="2"/>
      <c r="G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4"/>
      <c r="C47" s="2"/>
      <c r="D47" s="9"/>
      <c r="E47" s="9"/>
      <c r="F47" s="9"/>
      <c r="G47" s="9"/>
      <c r="H47" s="9"/>
      <c r="I47" s="9"/>
      <c r="J47" s="9"/>
      <c r="K47" s="9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30" t="s">
        <v>13</v>
      </c>
      <c r="B48" s="15"/>
      <c r="C48" s="17"/>
      <c r="D48" s="47">
        <f>SUM(D45)</f>
        <v>414661.42</v>
      </c>
      <c r="E48" s="47">
        <f>SUM(G48/20)</f>
        <v>20733.071</v>
      </c>
      <c r="F48" s="37" t="s">
        <v>0</v>
      </c>
      <c r="G48" s="47">
        <f>SUM(G45)</f>
        <v>414661.42</v>
      </c>
      <c r="H48" s="46">
        <f>SUM(D48/20)</f>
        <v>20733.071</v>
      </c>
      <c r="I48" s="11"/>
      <c r="J48" s="11"/>
      <c r="K48" s="1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4"/>
      <c r="B49" s="15"/>
      <c r="C49" s="17">
        <f>C8-C47</f>
        <v>0</v>
      </c>
      <c r="D49" s="38"/>
      <c r="E49" s="38"/>
      <c r="F49" s="38"/>
      <c r="G49" s="38"/>
      <c r="H49" s="17"/>
      <c r="I49" s="12"/>
      <c r="J49" s="12"/>
      <c r="K49" s="1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0" t="s">
        <v>14</v>
      </c>
      <c r="B50" s="19"/>
      <c r="C50" s="19"/>
      <c r="D50" s="48">
        <f>SUM(D9-D45)</f>
        <v>-11761.419999999984</v>
      </c>
      <c r="E50" s="48">
        <f>SUM(E9-E45)</f>
        <v>-588.07099999999991</v>
      </c>
      <c r="F50" s="39" t="s">
        <v>0</v>
      </c>
      <c r="G50" s="48">
        <f>SUM(G9-G48)</f>
        <v>-144718.41999999998</v>
      </c>
      <c r="H50" s="46">
        <f>SUM(H9-H48)</f>
        <v>-7235.9210000000003</v>
      </c>
      <c r="I50" s="13"/>
      <c r="J50" s="13"/>
      <c r="K50" s="1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8"/>
      <c r="B51" s="36"/>
      <c r="C51" s="9"/>
      <c r="D51" s="11"/>
      <c r="E51" s="11"/>
      <c r="F51" s="11"/>
      <c r="G51" s="11"/>
      <c r="H51" s="9"/>
      <c r="I51" s="12"/>
      <c r="J51" s="12"/>
      <c r="K51" s="1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C52" s="2"/>
      <c r="D52" s="12"/>
      <c r="E52" s="13"/>
      <c r="F52" s="13"/>
      <c r="G52" s="13"/>
      <c r="I52" s="12"/>
      <c r="J52" s="13"/>
      <c r="K52" s="13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4" t="s">
        <v>24</v>
      </c>
      <c r="D53" s="9"/>
      <c r="E53" s="2"/>
      <c r="F53" s="2"/>
      <c r="G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D54" s="13"/>
      <c r="E54" s="13"/>
      <c r="F54" s="13"/>
      <c r="G54" s="13"/>
      <c r="I54" s="12"/>
      <c r="J54" s="13"/>
      <c r="K54" s="13"/>
      <c r="L54" s="11"/>
      <c r="M54" s="11"/>
      <c r="N54" s="9"/>
      <c r="O54" s="9"/>
      <c r="P54" s="9"/>
      <c r="Q54" s="9"/>
      <c r="R54" s="9"/>
      <c r="S54" s="9"/>
    </row>
    <row r="55" spans="1:19" x14ac:dyDescent="0.2">
      <c r="D55" s="13"/>
      <c r="E55" s="13"/>
      <c r="F55" s="13"/>
      <c r="G55" s="13"/>
      <c r="I55" s="12"/>
      <c r="J55" s="13"/>
      <c r="K55" s="13"/>
      <c r="L55" s="11"/>
      <c r="M55" s="11"/>
      <c r="N55" s="9"/>
      <c r="O55" s="9"/>
      <c r="P55" s="9"/>
      <c r="Q55" s="9"/>
      <c r="R55" s="9"/>
      <c r="S55" s="9"/>
    </row>
    <row r="56" spans="1:19" x14ac:dyDescent="0.2">
      <c r="L56" s="11"/>
      <c r="M56" s="11"/>
      <c r="N56" s="9"/>
      <c r="O56" s="9"/>
      <c r="P56" s="9"/>
      <c r="Q56" s="9"/>
      <c r="R56" s="9"/>
      <c r="S56" s="9"/>
    </row>
    <row r="57" spans="1:19" x14ac:dyDescent="0.2">
      <c r="L57" s="13"/>
      <c r="M57" s="13"/>
      <c r="N57" s="12"/>
      <c r="O57" s="12"/>
      <c r="P57" s="12"/>
      <c r="Q57" s="12"/>
      <c r="R57" s="12"/>
      <c r="S57" s="12"/>
    </row>
    <row r="58" spans="1:19" x14ac:dyDescent="0.2">
      <c r="L58" s="13"/>
      <c r="M58" s="13"/>
      <c r="N58" s="12"/>
      <c r="O58" s="12"/>
      <c r="P58" s="12"/>
      <c r="Q58" s="12"/>
      <c r="R58" s="12"/>
      <c r="S58" s="12"/>
    </row>
    <row r="59" spans="1:19" x14ac:dyDescent="0.2">
      <c r="L59" s="13"/>
      <c r="M59" s="13"/>
      <c r="N59" s="12"/>
      <c r="O59" s="12"/>
      <c r="P59" s="12"/>
      <c r="Q59" s="12"/>
      <c r="R59" s="12"/>
      <c r="S59" s="12"/>
    </row>
    <row r="60" spans="1:19" x14ac:dyDescent="0.2">
      <c r="L60" s="13"/>
      <c r="M60" s="13"/>
      <c r="N60" s="12"/>
      <c r="O60" s="12"/>
      <c r="P60" s="12"/>
      <c r="Q60" s="12"/>
      <c r="R60" s="12"/>
      <c r="S60" s="12"/>
    </row>
  </sheetData>
  <mergeCells count="1">
    <mergeCell ref="C4:D4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cols>
    <col min="2" max="2" width="23" customWidth="1"/>
    <col min="3" max="3" width="18.140625" customWidth="1"/>
  </cols>
  <sheetData>
    <row r="1" spans="1:3" x14ac:dyDescent="0.25">
      <c r="A1" s="111" t="s">
        <v>40</v>
      </c>
      <c r="B1" s="111"/>
      <c r="C1" s="111"/>
    </row>
    <row r="2" spans="1:3" x14ac:dyDescent="0.25">
      <c r="A2" s="50"/>
      <c r="B2" s="52" t="s">
        <v>15</v>
      </c>
      <c r="C2" s="53" t="s">
        <v>21</v>
      </c>
    </row>
    <row r="3" spans="1:3" x14ac:dyDescent="0.25">
      <c r="A3" s="54">
        <v>1</v>
      </c>
      <c r="B3" s="51">
        <f>2.71*4*2080*20</f>
        <v>450944</v>
      </c>
      <c r="C3" s="51">
        <f>2.71*4*2080</f>
        <v>22547.200000000001</v>
      </c>
    </row>
    <row r="4" spans="1:3" x14ac:dyDescent="0.25">
      <c r="A4" s="54">
        <v>0.85</v>
      </c>
      <c r="B4" s="51">
        <f>2.71*4*2080*20*0.85</f>
        <v>383302.39999999997</v>
      </c>
      <c r="C4" s="51">
        <f>2.71*4*2080*0.85</f>
        <v>19165.12</v>
      </c>
    </row>
    <row r="6" spans="1:3" x14ac:dyDescent="0.25">
      <c r="A6" s="111" t="s">
        <v>41</v>
      </c>
      <c r="B6" s="111"/>
      <c r="C6" s="111"/>
    </row>
    <row r="7" spans="1:3" x14ac:dyDescent="0.25">
      <c r="A7" s="50"/>
      <c r="B7" s="52" t="s">
        <v>15</v>
      </c>
      <c r="C7" s="53" t="s">
        <v>21</v>
      </c>
    </row>
    <row r="8" spans="1:3" x14ac:dyDescent="0.25">
      <c r="A8" s="54">
        <v>1</v>
      </c>
      <c r="B8" s="51">
        <f>2.18*4*2080*20</f>
        <v>362752.00000000006</v>
      </c>
      <c r="C8" s="51">
        <f>2.18*4*2080</f>
        <v>18137.600000000002</v>
      </c>
    </row>
    <row r="9" spans="1:3" x14ac:dyDescent="0.25">
      <c r="A9" s="54">
        <v>0.85</v>
      </c>
      <c r="B9" s="51">
        <f>2.18*4*2080*20*0.85</f>
        <v>308339.20000000007</v>
      </c>
      <c r="C9" s="51">
        <f>2.18*4*2080*0.85</f>
        <v>15416.960000000001</v>
      </c>
    </row>
    <row r="11" spans="1:3" x14ac:dyDescent="0.25">
      <c r="A11" s="111" t="s">
        <v>42</v>
      </c>
      <c r="B11" s="111"/>
      <c r="C11" s="111"/>
    </row>
    <row r="12" spans="1:3" x14ac:dyDescent="0.25">
      <c r="A12" s="50"/>
      <c r="B12" s="52" t="s">
        <v>15</v>
      </c>
      <c r="C12" s="53" t="s">
        <v>21</v>
      </c>
    </row>
    <row r="13" spans="1:3" x14ac:dyDescent="0.25">
      <c r="A13" s="54">
        <v>1</v>
      </c>
      <c r="B13" s="51">
        <f>1.95*4*2080*20</f>
        <v>324480</v>
      </c>
      <c r="C13" s="51">
        <f>1.95*4*2080</f>
        <v>16224</v>
      </c>
    </row>
    <row r="14" spans="1:3" x14ac:dyDescent="0.25">
      <c r="A14" s="54">
        <v>0.85</v>
      </c>
      <c r="B14" s="51">
        <f>1.95*4*2080*20*0.85</f>
        <v>275808</v>
      </c>
      <c r="C14" s="51">
        <f>1.95*4*2080*0.85</f>
        <v>13790.4</v>
      </c>
    </row>
    <row r="18" spans="2:3" x14ac:dyDescent="0.25">
      <c r="B18" s="49">
        <v>414661.42</v>
      </c>
      <c r="C18" s="49">
        <v>20733.071</v>
      </c>
    </row>
  </sheetData>
  <mergeCells count="3">
    <mergeCell ref="A1:C1"/>
    <mergeCell ref="A6:C6"/>
    <mergeCell ref="A11:C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1" workbookViewId="0">
      <selection activeCell="K4" sqref="K4"/>
    </sheetView>
  </sheetViews>
  <sheetFormatPr defaultRowHeight="15" x14ac:dyDescent="0.25"/>
  <cols>
    <col min="2" max="2" width="11.5703125" bestFit="1" customWidth="1"/>
    <col min="5" max="5" width="15.140625" bestFit="1" customWidth="1"/>
    <col min="11" max="11" width="14.42578125" bestFit="1" customWidth="1"/>
    <col min="12" max="12" width="14.140625" customWidth="1"/>
    <col min="13" max="13" width="11.5703125" customWidth="1"/>
    <col min="14" max="14" width="11.28515625" customWidth="1"/>
  </cols>
  <sheetData>
    <row r="1" spans="1:17" x14ac:dyDescent="0.25">
      <c r="B1" s="55" t="s">
        <v>43</v>
      </c>
    </row>
    <row r="2" spans="1:17" x14ac:dyDescent="0.25">
      <c r="B2" s="55" t="s">
        <v>44</v>
      </c>
      <c r="F2" s="56"/>
    </row>
    <row r="3" spans="1:17" ht="133.5" x14ac:dyDescent="0.25">
      <c r="F3" s="56" t="s">
        <v>45</v>
      </c>
      <c r="G3" s="56" t="s">
        <v>46</v>
      </c>
      <c r="H3" s="56" t="s">
        <v>47</v>
      </c>
      <c r="I3" s="56" t="s">
        <v>48</v>
      </c>
      <c r="J3" s="56" t="s">
        <v>49</v>
      </c>
      <c r="K3" s="56" t="s">
        <v>50</v>
      </c>
      <c r="L3" s="56" t="s">
        <v>51</v>
      </c>
      <c r="M3" s="56" t="s">
        <v>52</v>
      </c>
      <c r="N3" s="56" t="s">
        <v>53</v>
      </c>
      <c r="O3" s="56" t="s">
        <v>54</v>
      </c>
      <c r="P3" s="56" t="s">
        <v>55</v>
      </c>
      <c r="Q3" s="56" t="s">
        <v>56</v>
      </c>
    </row>
    <row r="4" spans="1:17" x14ac:dyDescent="0.25">
      <c r="A4" s="55" t="s">
        <v>57</v>
      </c>
      <c r="B4">
        <v>12.5</v>
      </c>
      <c r="E4" t="s">
        <v>58</v>
      </c>
      <c r="F4" s="57">
        <v>12.5</v>
      </c>
      <c r="G4">
        <v>2080</v>
      </c>
      <c r="H4">
        <f>1.11*G4</f>
        <v>2308.8000000000002</v>
      </c>
      <c r="I4" s="57">
        <f>F4*1.2</f>
        <v>15</v>
      </c>
      <c r="J4">
        <f>H4*1.2</f>
        <v>2770.56</v>
      </c>
      <c r="K4" s="58">
        <f>J4*I4</f>
        <v>41558.400000000001</v>
      </c>
      <c r="L4" s="58">
        <f>K4*1.2</f>
        <v>49870.080000000002</v>
      </c>
      <c r="M4" s="58">
        <f>L4*1.13</f>
        <v>56353.190399999999</v>
      </c>
      <c r="N4" s="58">
        <f>M4*1.15</f>
        <v>64806.168959999995</v>
      </c>
      <c r="O4" s="58">
        <f>N4/2080</f>
        <v>31.156811999999999</v>
      </c>
      <c r="P4" s="58">
        <f>O4/4</f>
        <v>7.7892029999999997</v>
      </c>
      <c r="Q4" s="58">
        <f>P4/4</f>
        <v>1.9473007499999999</v>
      </c>
    </row>
    <row r="5" spans="1:17" x14ac:dyDescent="0.25">
      <c r="A5" s="55" t="s">
        <v>59</v>
      </c>
      <c r="E5" t="s">
        <v>60</v>
      </c>
      <c r="F5" s="57">
        <v>14</v>
      </c>
      <c r="G5">
        <v>2080</v>
      </c>
      <c r="H5">
        <f>1.11*G5</f>
        <v>2308.8000000000002</v>
      </c>
      <c r="I5" s="57">
        <f>F5*1.2</f>
        <v>16.8</v>
      </c>
      <c r="J5">
        <f>H5*1.2</f>
        <v>2770.56</v>
      </c>
      <c r="K5" s="58">
        <f>J5*I5</f>
        <v>46545.408000000003</v>
      </c>
      <c r="L5" s="58">
        <f>K5*1.2</f>
        <v>55854.489600000001</v>
      </c>
      <c r="M5" s="58">
        <f>L5*1.13</f>
        <v>63115.573247999993</v>
      </c>
      <c r="N5" s="58">
        <f>M5*1.15</f>
        <v>72582.909235199986</v>
      </c>
      <c r="O5" s="58">
        <f>N5/2080</f>
        <v>34.895629439999993</v>
      </c>
      <c r="P5" s="58">
        <f>O5/4</f>
        <v>8.7239073599999983</v>
      </c>
      <c r="Q5" s="58">
        <f>P5/4</f>
        <v>2.1809768399999996</v>
      </c>
    </row>
    <row r="6" spans="1:17" x14ac:dyDescent="0.25">
      <c r="A6" s="55">
        <v>2080</v>
      </c>
      <c r="B6" s="57">
        <f>2080*B4</f>
        <v>26000</v>
      </c>
    </row>
    <row r="7" spans="1:17" x14ac:dyDescent="0.25">
      <c r="A7" s="55" t="s">
        <v>61</v>
      </c>
      <c r="B7" s="57">
        <f>B6*1.11</f>
        <v>28860.000000000004</v>
      </c>
    </row>
    <row r="8" spans="1:17" x14ac:dyDescent="0.25">
      <c r="A8" s="55" t="s">
        <v>62</v>
      </c>
      <c r="B8" s="59">
        <v>0.2</v>
      </c>
    </row>
    <row r="9" spans="1:17" x14ac:dyDescent="0.25">
      <c r="A9" s="55"/>
      <c r="B9" s="57">
        <f>B7*1.2</f>
        <v>34632</v>
      </c>
    </row>
    <row r="10" spans="1:17" x14ac:dyDescent="0.25">
      <c r="A10" s="55"/>
      <c r="B10" s="60">
        <f>B9*1.2</f>
        <v>41558.400000000001</v>
      </c>
    </row>
    <row r="11" spans="1:17" x14ac:dyDescent="0.25">
      <c r="A11" s="61" t="s">
        <v>63</v>
      </c>
      <c r="B11" s="57">
        <f>B10*1.2</f>
        <v>49870.080000000002</v>
      </c>
    </row>
    <row r="12" spans="1:17" x14ac:dyDescent="0.25">
      <c r="A12" s="61"/>
      <c r="B12" s="62">
        <v>0.2</v>
      </c>
    </row>
    <row r="13" spans="1:17" x14ac:dyDescent="0.25">
      <c r="A13" s="63" t="s">
        <v>64</v>
      </c>
    </row>
    <row r="14" spans="1:17" x14ac:dyDescent="0.25">
      <c r="A14" s="63"/>
    </row>
    <row r="15" spans="1:17" x14ac:dyDescent="0.25">
      <c r="A15" s="63" t="s">
        <v>65</v>
      </c>
      <c r="B15" s="57">
        <f>B11*1.13</f>
        <v>56353.190399999999</v>
      </c>
    </row>
    <row r="16" spans="1:17" x14ac:dyDescent="0.25">
      <c r="A16" s="55"/>
    </row>
    <row r="17" spans="1:3" x14ac:dyDescent="0.25">
      <c r="A17" s="55" t="s">
        <v>66</v>
      </c>
      <c r="B17" s="57">
        <f>B15/2080</f>
        <v>27.092880000000001</v>
      </c>
    </row>
    <row r="18" spans="1:3" x14ac:dyDescent="0.25">
      <c r="A18" s="63"/>
      <c r="B18" s="57">
        <f>B17*((1+(0.15*4)))/4</f>
        <v>10.837152000000001</v>
      </c>
      <c r="C18" s="58">
        <f>B18*4</f>
        <v>43.348608000000006</v>
      </c>
    </row>
    <row r="19" spans="1:3" x14ac:dyDescent="0.25">
      <c r="B19" s="64">
        <v>4.4444444444444446E-2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sqref="A1:I37"/>
    </sheetView>
  </sheetViews>
  <sheetFormatPr defaultRowHeight="15" x14ac:dyDescent="0.25"/>
  <cols>
    <col min="1" max="1" width="34" customWidth="1"/>
    <col min="2" max="2" width="17.28515625" customWidth="1"/>
    <col min="3" max="3" width="13.7109375" bestFit="1" customWidth="1"/>
    <col min="4" max="4" width="12" customWidth="1"/>
    <col min="5" max="5" width="12.5703125" bestFit="1" customWidth="1"/>
    <col min="6" max="6" width="16.140625" customWidth="1"/>
    <col min="7" max="7" width="12.85546875" customWidth="1"/>
    <col min="8" max="10" width="12.5703125" customWidth="1"/>
  </cols>
  <sheetData>
    <row r="1" spans="1:12" s="56" customFormat="1" ht="72.75" customHeight="1" x14ac:dyDescent="0.25">
      <c r="A1"/>
    </row>
    <row r="2" spans="1:12" x14ac:dyDescent="0.25">
      <c r="D2" s="65"/>
      <c r="E2" s="65"/>
      <c r="F2" s="65"/>
    </row>
    <row r="3" spans="1:12" x14ac:dyDescent="0.25">
      <c r="D3" s="65"/>
      <c r="E3" s="65"/>
      <c r="F3" s="65"/>
    </row>
    <row r="6" spans="1:12" x14ac:dyDescent="0.25">
      <c r="A6" s="72"/>
      <c r="B6" s="72"/>
      <c r="C6" s="73"/>
      <c r="D6" s="73"/>
      <c r="E6" s="73"/>
      <c r="F6" s="73"/>
      <c r="G6" s="73"/>
      <c r="H6" s="73"/>
      <c r="I6" s="73"/>
      <c r="J6" s="72"/>
      <c r="K6" s="72"/>
      <c r="L6" s="72"/>
    </row>
    <row r="7" spans="1:12" ht="53.25" customHeight="1" x14ac:dyDescent="0.25">
      <c r="A7" s="67"/>
      <c r="B7" s="74"/>
      <c r="C7" s="74"/>
      <c r="D7" s="74"/>
      <c r="E7" s="74"/>
      <c r="F7" s="74"/>
      <c r="G7" s="74"/>
      <c r="L7" s="66"/>
    </row>
    <row r="8" spans="1:12" x14ac:dyDescent="0.25">
      <c r="A8" s="67"/>
      <c r="B8" s="75"/>
      <c r="C8" s="67"/>
      <c r="D8" s="67"/>
      <c r="E8" s="67"/>
      <c r="F8" s="67"/>
      <c r="G8" s="67"/>
    </row>
    <row r="9" spans="1:12" x14ac:dyDescent="0.25">
      <c r="A9" s="67"/>
      <c r="B9" s="68"/>
      <c r="C9" s="67"/>
      <c r="D9" s="70"/>
      <c r="E9" s="75"/>
      <c r="F9" s="67"/>
      <c r="G9" s="70"/>
    </row>
    <row r="10" spans="1:12" x14ac:dyDescent="0.25">
      <c r="A10" s="67"/>
      <c r="B10" s="68"/>
      <c r="C10" s="70"/>
      <c r="D10" s="70"/>
      <c r="E10" s="75"/>
      <c r="F10" s="67"/>
      <c r="G10" s="70"/>
    </row>
    <row r="11" spans="1:12" x14ac:dyDescent="0.25">
      <c r="A11" s="67"/>
      <c r="B11" s="68"/>
      <c r="C11" s="70"/>
      <c r="D11" s="70"/>
      <c r="E11" s="75"/>
      <c r="F11" s="67"/>
      <c r="G11" s="70"/>
    </row>
    <row r="12" spans="1:12" x14ac:dyDescent="0.25">
      <c r="A12" s="67"/>
      <c r="B12" s="69"/>
      <c r="C12" s="70"/>
      <c r="D12" s="70"/>
      <c r="E12" s="75"/>
      <c r="F12" s="67"/>
      <c r="G12" s="70"/>
    </row>
    <row r="13" spans="1:12" ht="30" customHeight="1" x14ac:dyDescent="0.25">
      <c r="A13" s="76"/>
      <c r="B13" s="77"/>
      <c r="C13" s="78"/>
      <c r="D13" s="78"/>
      <c r="E13" s="79"/>
      <c r="F13" s="71"/>
      <c r="G13" s="78"/>
    </row>
    <row r="14" spans="1:12" x14ac:dyDescent="0.25">
      <c r="A14" s="67"/>
      <c r="B14" s="68"/>
      <c r="C14" s="70"/>
      <c r="D14" s="70"/>
      <c r="E14" s="75"/>
      <c r="F14" s="67"/>
      <c r="G14" s="70"/>
    </row>
    <row r="15" spans="1:12" x14ac:dyDescent="0.25">
      <c r="A15" s="67"/>
      <c r="B15" s="70"/>
      <c r="C15" s="67"/>
      <c r="D15" s="67"/>
      <c r="E15" s="67"/>
      <c r="F15" s="67"/>
      <c r="G15" s="67"/>
    </row>
    <row r="16" spans="1:12" x14ac:dyDescent="0.25">
      <c r="F16" s="58"/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31" sqref="D31"/>
    </sheetView>
  </sheetViews>
  <sheetFormatPr defaultRowHeight="15" x14ac:dyDescent="0.25"/>
  <cols>
    <col min="1" max="1" width="34.7109375" bestFit="1" customWidth="1"/>
    <col min="2" max="3" width="11.5703125" bestFit="1" customWidth="1"/>
    <col min="4" max="4" width="10.5703125" bestFit="1" customWidth="1"/>
    <col min="5" max="5" width="15.85546875" customWidth="1"/>
    <col min="6" max="6" width="29.5703125" customWidth="1"/>
    <col min="7" max="7" width="11.5703125" bestFit="1" customWidth="1"/>
    <col min="10" max="10" width="10.5703125" bestFit="1" customWidth="1"/>
    <col min="11" max="11" width="31.28515625" customWidth="1"/>
    <col min="12" max="12" width="12.85546875" customWidth="1"/>
  </cols>
  <sheetData>
    <row r="1" spans="1:12" x14ac:dyDescent="0.25">
      <c r="A1" s="112" t="s">
        <v>67</v>
      </c>
      <c r="B1" s="112"/>
      <c r="C1" s="112"/>
      <c r="D1" s="112"/>
      <c r="E1" s="80"/>
      <c r="F1" s="112" t="s">
        <v>68</v>
      </c>
      <c r="G1" s="112"/>
      <c r="H1" s="112"/>
      <c r="I1" s="112"/>
    </row>
    <row r="2" spans="1:12" x14ac:dyDescent="0.25">
      <c r="A2" s="67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67"/>
      <c r="B3" s="75"/>
      <c r="C3" s="75"/>
      <c r="D3" s="75"/>
      <c r="E3" s="75"/>
      <c r="F3" s="67"/>
      <c r="G3" s="75"/>
      <c r="H3" s="75"/>
      <c r="I3" s="75"/>
      <c r="J3" s="67"/>
      <c r="K3" s="67"/>
      <c r="L3" s="67"/>
    </row>
    <row r="4" spans="1:12" x14ac:dyDescent="0.25">
      <c r="A4" s="67"/>
      <c r="B4" s="75"/>
      <c r="C4" s="75"/>
      <c r="D4" s="75"/>
      <c r="E4" s="75"/>
      <c r="F4" s="67"/>
      <c r="G4" s="75"/>
      <c r="H4" s="75"/>
      <c r="I4" s="75"/>
      <c r="J4" s="75"/>
      <c r="K4" s="67"/>
      <c r="L4" s="70"/>
    </row>
    <row r="5" spans="1:12" x14ac:dyDescent="0.25">
      <c r="A5" s="67"/>
      <c r="B5" s="75"/>
      <c r="C5" s="75"/>
      <c r="D5" s="75"/>
      <c r="E5" s="75"/>
      <c r="F5" s="67"/>
      <c r="G5" s="75"/>
      <c r="H5" s="75"/>
      <c r="I5" s="75"/>
      <c r="J5" s="75"/>
      <c r="K5" s="67"/>
      <c r="L5" s="70"/>
    </row>
    <row r="6" spans="1:12" x14ac:dyDescent="0.25">
      <c r="A6" s="67"/>
      <c r="B6" s="75"/>
      <c r="C6" s="75"/>
      <c r="D6" s="75"/>
      <c r="E6" s="75"/>
      <c r="F6" s="67"/>
      <c r="G6" s="75"/>
      <c r="H6" s="75"/>
      <c r="I6" s="75"/>
      <c r="J6" s="75"/>
      <c r="K6" s="67"/>
      <c r="L6" s="70"/>
    </row>
    <row r="7" spans="1:12" x14ac:dyDescent="0.25">
      <c r="A7" s="67"/>
      <c r="B7" s="75"/>
      <c r="C7" s="75"/>
      <c r="D7" s="75"/>
      <c r="E7" s="75"/>
      <c r="F7" s="67"/>
      <c r="G7" s="75"/>
      <c r="H7" s="75"/>
      <c r="I7" s="75"/>
      <c r="J7" s="75"/>
      <c r="K7" s="67"/>
      <c r="L7" s="70"/>
    </row>
    <row r="8" spans="1:12" x14ac:dyDescent="0.25">
      <c r="A8" s="67"/>
      <c r="B8" s="75"/>
      <c r="C8" s="75"/>
      <c r="D8" s="75"/>
      <c r="E8" s="75"/>
      <c r="F8" s="67"/>
      <c r="G8" s="75"/>
      <c r="H8" s="75"/>
      <c r="I8" s="75"/>
      <c r="J8" s="75"/>
      <c r="K8" s="71"/>
      <c r="L8" s="70"/>
    </row>
    <row r="9" spans="1:12" x14ac:dyDescent="0.25">
      <c r="A9" s="67"/>
      <c r="B9" s="75"/>
      <c r="C9" s="75"/>
      <c r="D9" s="75"/>
      <c r="E9" s="75"/>
      <c r="F9" s="67"/>
      <c r="G9" s="75"/>
      <c r="H9" s="75"/>
      <c r="I9" s="75"/>
      <c r="J9" s="75"/>
      <c r="K9" s="67"/>
      <c r="L9" s="70"/>
    </row>
    <row r="10" spans="1:12" x14ac:dyDescent="0.25">
      <c r="A10" s="67"/>
      <c r="B10" s="75"/>
      <c r="C10" s="75"/>
      <c r="D10" s="75"/>
      <c r="E10" s="75"/>
      <c r="F10" s="67"/>
      <c r="G10" s="75"/>
      <c r="H10" s="75"/>
      <c r="I10" s="75"/>
      <c r="J10" s="75"/>
      <c r="K10" s="67"/>
      <c r="L10" s="70"/>
    </row>
    <row r="11" spans="1:12" x14ac:dyDescent="0.25">
      <c r="A11" s="67"/>
      <c r="B11" s="75"/>
      <c r="C11" s="75"/>
      <c r="D11" s="75"/>
      <c r="E11" s="75"/>
      <c r="F11" s="67"/>
      <c r="G11" s="75"/>
      <c r="H11" s="75"/>
      <c r="I11" s="75"/>
      <c r="J11" s="67"/>
      <c r="K11" s="67"/>
      <c r="L11" s="67"/>
    </row>
    <row r="12" spans="1:12" x14ac:dyDescent="0.25">
      <c r="A12" s="67"/>
      <c r="B12" s="75"/>
      <c r="C12" s="75"/>
      <c r="D12" s="75"/>
      <c r="E12" s="75"/>
      <c r="F12" s="67"/>
      <c r="G12" s="75"/>
      <c r="H12" s="75"/>
      <c r="I12" s="75"/>
      <c r="J12" s="67"/>
      <c r="K12" s="67"/>
      <c r="L12" s="67"/>
    </row>
    <row r="13" spans="1:12" x14ac:dyDescent="0.25">
      <c r="A13" s="67"/>
      <c r="B13" s="75"/>
      <c r="C13" s="75"/>
      <c r="D13" s="75"/>
      <c r="E13" s="75"/>
      <c r="F13" s="67"/>
      <c r="G13" s="75"/>
      <c r="H13" s="75"/>
      <c r="I13" s="75"/>
      <c r="J13" s="67"/>
      <c r="K13" s="67"/>
      <c r="L13" s="67"/>
    </row>
  </sheetData>
  <mergeCells count="2">
    <mergeCell ref="F1:I1"/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22" workbookViewId="0">
      <selection activeCell="G42" sqref="G42"/>
    </sheetView>
  </sheetViews>
  <sheetFormatPr defaultRowHeight="15" x14ac:dyDescent="0.25"/>
  <cols>
    <col min="1" max="1" width="29" bestFit="1" customWidth="1"/>
    <col min="2" max="2" width="11.5703125" bestFit="1" customWidth="1"/>
    <col min="4" max="4" width="13.5703125" customWidth="1"/>
    <col min="5" max="6" width="10.85546875" customWidth="1"/>
    <col min="7" max="7" width="9.5703125" bestFit="1" customWidth="1"/>
  </cols>
  <sheetData>
    <row r="1" spans="1:6" x14ac:dyDescent="0.25">
      <c r="A1" s="55" t="s">
        <v>106</v>
      </c>
      <c r="B1" s="55" t="s">
        <v>104</v>
      </c>
      <c r="C1" s="55"/>
    </row>
    <row r="2" spans="1:6" ht="45" x14ac:dyDescent="0.25">
      <c r="A2" s="55" t="s">
        <v>73</v>
      </c>
      <c r="B2" s="101">
        <v>260</v>
      </c>
      <c r="E2" s="84"/>
      <c r="F2" s="84" t="s">
        <v>93</v>
      </c>
    </row>
    <row r="3" spans="1:6" x14ac:dyDescent="0.25">
      <c r="A3" s="55" t="s">
        <v>76</v>
      </c>
    </row>
    <row r="4" spans="1:6" x14ac:dyDescent="0.25">
      <c r="A4" s="55"/>
      <c r="B4" s="55" t="s">
        <v>70</v>
      </c>
      <c r="C4" s="55" t="s">
        <v>71</v>
      </c>
      <c r="D4" s="82"/>
    </row>
    <row r="5" spans="1:6" x14ac:dyDescent="0.25">
      <c r="A5" s="55" t="s">
        <v>69</v>
      </c>
      <c r="B5" s="81">
        <v>12.91</v>
      </c>
      <c r="C5">
        <v>2080</v>
      </c>
      <c r="D5" s="82">
        <f>+C5*B5</f>
        <v>26852.799999999999</v>
      </c>
      <c r="E5" s="81"/>
    </row>
    <row r="6" spans="1:6" x14ac:dyDescent="0.25">
      <c r="A6" s="55" t="s">
        <v>30</v>
      </c>
      <c r="B6" s="59">
        <v>0.22</v>
      </c>
      <c r="D6" s="82">
        <f>+D5*0.22</f>
        <v>5907.616</v>
      </c>
      <c r="E6" s="81"/>
    </row>
    <row r="7" spans="1:6" x14ac:dyDescent="0.25">
      <c r="A7" s="55" t="s">
        <v>91</v>
      </c>
      <c r="B7" s="81">
        <v>12.91</v>
      </c>
      <c r="C7">
        <v>144</v>
      </c>
      <c r="D7" s="82">
        <f>+C7*B7</f>
        <v>1859.04</v>
      </c>
      <c r="E7" s="81"/>
    </row>
    <row r="8" spans="1:6" s="55" customFormat="1" x14ac:dyDescent="0.25">
      <c r="A8" s="55" t="s">
        <v>75</v>
      </c>
      <c r="D8" s="89">
        <f>SUM(D5:D6:D7)</f>
        <v>34619.455999999998</v>
      </c>
      <c r="E8" s="90">
        <f>+D8/260/3</f>
        <v>44.383917948717944</v>
      </c>
    </row>
    <row r="9" spans="1:6" x14ac:dyDescent="0.25">
      <c r="A9" s="55" t="s">
        <v>72</v>
      </c>
      <c r="B9">
        <v>22.16</v>
      </c>
      <c r="C9">
        <v>2080</v>
      </c>
      <c r="D9" s="82">
        <f>+C9*B9</f>
        <v>46092.800000000003</v>
      </c>
    </row>
    <row r="10" spans="1:6" x14ac:dyDescent="0.25">
      <c r="A10" s="55" t="s">
        <v>30</v>
      </c>
      <c r="B10" s="59">
        <v>0.22</v>
      </c>
      <c r="D10" s="82">
        <f>+D9*0.22</f>
        <v>10140.416000000001</v>
      </c>
    </row>
    <row r="11" spans="1:6" s="55" customFormat="1" x14ac:dyDescent="0.25">
      <c r="A11" s="55" t="s">
        <v>90</v>
      </c>
      <c r="D11" s="89">
        <f>SUM(D9:D10)</f>
        <v>56233.216</v>
      </c>
      <c r="E11" s="90">
        <f>+D11/260/15</f>
        <v>14.418773333333332</v>
      </c>
    </row>
    <row r="12" spans="1:6" x14ac:dyDescent="0.25">
      <c r="A12" s="55" t="s">
        <v>85</v>
      </c>
      <c r="B12">
        <v>19.75</v>
      </c>
      <c r="C12">
        <v>2080</v>
      </c>
      <c r="D12" s="82">
        <f>+C12*B12</f>
        <v>41080</v>
      </c>
    </row>
    <row r="13" spans="1:6" x14ac:dyDescent="0.25">
      <c r="A13" s="55" t="s">
        <v>30</v>
      </c>
      <c r="B13" s="59">
        <v>0.22</v>
      </c>
      <c r="D13" s="82">
        <f>+D12*0.22</f>
        <v>9037.6</v>
      </c>
    </row>
    <row r="14" spans="1:6" s="55" customFormat="1" x14ac:dyDescent="0.25">
      <c r="A14" s="55" t="s">
        <v>90</v>
      </c>
      <c r="B14" s="88"/>
      <c r="D14" s="89">
        <f>SUM(D12:D13)</f>
        <v>50117.599999999999</v>
      </c>
      <c r="E14" s="90">
        <f>+D14/260/15</f>
        <v>12.850666666666665</v>
      </c>
    </row>
    <row r="15" spans="1:6" x14ac:dyDescent="0.25">
      <c r="A15" s="55" t="s">
        <v>89</v>
      </c>
      <c r="B15" s="81">
        <v>35</v>
      </c>
      <c r="C15">
        <v>2080</v>
      </c>
      <c r="D15" s="82">
        <f>+C15*B15</f>
        <v>72800</v>
      </c>
    </row>
    <row r="16" spans="1:6" x14ac:dyDescent="0.25">
      <c r="A16" s="55" t="s">
        <v>30</v>
      </c>
      <c r="B16" s="59">
        <v>0.22</v>
      </c>
      <c r="D16" s="82">
        <f>+D15*0.22</f>
        <v>16016</v>
      </c>
    </row>
    <row r="17" spans="1:7" s="55" customFormat="1" x14ac:dyDescent="0.25">
      <c r="A17" s="55" t="s">
        <v>75</v>
      </c>
      <c r="B17" s="88"/>
      <c r="D17" s="89">
        <f>SUM(D15:D16)</f>
        <v>88816</v>
      </c>
      <c r="E17" s="90">
        <f>+D17/260/15</f>
        <v>22.773333333333333</v>
      </c>
    </row>
    <row r="18" spans="1:7" s="55" customFormat="1" x14ac:dyDescent="0.25">
      <c r="A18" s="55" t="s">
        <v>74</v>
      </c>
      <c r="D18" s="89">
        <f>SUM(D17,D14,D11,D8)</f>
        <v>229786.272</v>
      </c>
      <c r="E18" s="90"/>
    </row>
    <row r="19" spans="1:7" ht="45" x14ac:dyDescent="0.25">
      <c r="A19" s="97" t="s">
        <v>107</v>
      </c>
      <c r="D19" s="82"/>
      <c r="F19" s="81">
        <f>E8+E11+E14+E17</f>
        <v>94.42669128205128</v>
      </c>
    </row>
    <row r="20" spans="1:7" x14ac:dyDescent="0.25">
      <c r="A20" s="55" t="s">
        <v>82</v>
      </c>
      <c r="D20" s="82"/>
      <c r="G20" s="81">
        <f>+F19</f>
        <v>94.42669128205128</v>
      </c>
    </row>
    <row r="21" spans="1:7" x14ac:dyDescent="0.25">
      <c r="A21" s="55" t="s">
        <v>87</v>
      </c>
      <c r="D21" s="82"/>
    </row>
    <row r="22" spans="1:7" x14ac:dyDescent="0.25">
      <c r="A22" s="55"/>
      <c r="D22" s="82"/>
    </row>
    <row r="23" spans="1:7" x14ac:dyDescent="0.25">
      <c r="A23" s="55" t="s">
        <v>88</v>
      </c>
      <c r="B23">
        <v>200</v>
      </c>
      <c r="C23" t="s">
        <v>95</v>
      </c>
      <c r="D23" s="82">
        <f>+B23*249</f>
        <v>49800</v>
      </c>
      <c r="E23">
        <f t="shared" ref="E23:E29" si="0">+D23/260/15</f>
        <v>12.76923076923077</v>
      </c>
      <c r="F23" s="81">
        <f t="shared" ref="F23:F29" si="1">+E23</f>
        <v>12.76923076923077</v>
      </c>
    </row>
    <row r="24" spans="1:7" x14ac:dyDescent="0.25">
      <c r="A24" s="55" t="s">
        <v>7</v>
      </c>
      <c r="B24">
        <v>50</v>
      </c>
      <c r="C24" t="s">
        <v>95</v>
      </c>
      <c r="D24" s="82">
        <f>+B24*249</f>
        <v>12450</v>
      </c>
      <c r="E24">
        <f t="shared" si="0"/>
        <v>3.1923076923076925</v>
      </c>
      <c r="F24" s="81">
        <f t="shared" si="1"/>
        <v>3.1923076923076925</v>
      </c>
    </row>
    <row r="25" spans="1:7" x14ac:dyDescent="0.25">
      <c r="A25" s="55" t="s">
        <v>77</v>
      </c>
      <c r="B25">
        <v>5000</v>
      </c>
      <c r="C25" t="s">
        <v>78</v>
      </c>
      <c r="D25" s="82">
        <v>60000</v>
      </c>
      <c r="E25">
        <f t="shared" si="0"/>
        <v>15.384615384615385</v>
      </c>
      <c r="F25" s="81">
        <f t="shared" si="1"/>
        <v>15.384615384615385</v>
      </c>
    </row>
    <row r="26" spans="1:7" x14ac:dyDescent="0.25">
      <c r="A26" s="55" t="s">
        <v>79</v>
      </c>
      <c r="B26" s="83">
        <v>500</v>
      </c>
      <c r="C26" t="s">
        <v>78</v>
      </c>
      <c r="D26" s="82">
        <f>+B26*12</f>
        <v>6000</v>
      </c>
      <c r="E26" s="81">
        <f t="shared" si="0"/>
        <v>1.5384615384615385</v>
      </c>
      <c r="F26" s="81">
        <f t="shared" si="1"/>
        <v>1.5384615384615385</v>
      </c>
    </row>
    <row r="27" spans="1:7" x14ac:dyDescent="0.25">
      <c r="A27" s="55" t="s">
        <v>80</v>
      </c>
      <c r="B27" s="83">
        <v>400</v>
      </c>
      <c r="C27" t="s">
        <v>78</v>
      </c>
      <c r="D27" s="82">
        <f>+B27*12</f>
        <v>4800</v>
      </c>
      <c r="E27" s="81">
        <f t="shared" si="0"/>
        <v>1.2307692307692306</v>
      </c>
      <c r="F27" s="81">
        <f t="shared" si="1"/>
        <v>1.2307692307692306</v>
      </c>
    </row>
    <row r="28" spans="1:7" x14ac:dyDescent="0.25">
      <c r="A28" s="55" t="s">
        <v>86</v>
      </c>
      <c r="B28">
        <v>5000</v>
      </c>
      <c r="C28" t="s">
        <v>78</v>
      </c>
      <c r="D28" s="82">
        <v>60000</v>
      </c>
      <c r="E28" s="81">
        <f t="shared" si="0"/>
        <v>15.384615384615385</v>
      </c>
      <c r="F28" s="81">
        <f t="shared" si="1"/>
        <v>15.384615384615385</v>
      </c>
    </row>
    <row r="29" spans="1:7" x14ac:dyDescent="0.25">
      <c r="A29" s="55" t="s">
        <v>81</v>
      </c>
      <c r="B29" s="85">
        <v>1500</v>
      </c>
      <c r="C29" t="s">
        <v>78</v>
      </c>
      <c r="D29" s="82">
        <f>+B29*12</f>
        <v>18000</v>
      </c>
      <c r="E29" s="81">
        <f t="shared" si="0"/>
        <v>4.615384615384615</v>
      </c>
      <c r="F29" s="81">
        <f t="shared" si="1"/>
        <v>4.615384615384615</v>
      </c>
    </row>
    <row r="30" spans="1:7" x14ac:dyDescent="0.25">
      <c r="A30" s="55" t="s">
        <v>100</v>
      </c>
      <c r="B30" s="85"/>
      <c r="D30" s="82">
        <f>SUM(D25:D29)</f>
        <v>148800</v>
      </c>
      <c r="E30" s="81"/>
      <c r="F30" s="81"/>
    </row>
    <row r="31" spans="1:7" x14ac:dyDescent="0.25">
      <c r="A31" s="55"/>
      <c r="D31" s="86"/>
      <c r="E31" s="81"/>
      <c r="F31" s="81"/>
      <c r="G31" s="103">
        <f>SUM(F23:F29)</f>
        <v>54.11538461538462</v>
      </c>
    </row>
    <row r="32" spans="1:7" x14ac:dyDescent="0.25">
      <c r="A32" s="55" t="s">
        <v>101</v>
      </c>
      <c r="D32">
        <f>SUM(D18,D30)</f>
        <v>378586.272</v>
      </c>
      <c r="G32" s="103">
        <f>+G31+G20</f>
        <v>148.54207589743589</v>
      </c>
    </row>
    <row r="33" spans="1:9" x14ac:dyDescent="0.25">
      <c r="A33" s="55" t="s">
        <v>84</v>
      </c>
      <c r="B33">
        <v>0.13</v>
      </c>
      <c r="D33" s="87">
        <f>D32*0.13</f>
        <v>49216.215360000002</v>
      </c>
      <c r="E33">
        <f>+D33/260/15</f>
        <v>12.6195424</v>
      </c>
      <c r="G33" s="103">
        <v>24.12</v>
      </c>
    </row>
    <row r="34" spans="1:9" x14ac:dyDescent="0.25">
      <c r="A34" s="108" t="s">
        <v>112</v>
      </c>
      <c r="B34" s="109"/>
      <c r="C34" s="101"/>
      <c r="D34" s="101"/>
      <c r="G34" s="103">
        <f>SUM(G32:G33)</f>
        <v>172.6620758974359</v>
      </c>
    </row>
    <row r="35" spans="1:9" x14ac:dyDescent="0.25">
      <c r="A35" s="108" t="s">
        <v>118</v>
      </c>
      <c r="B35" s="101"/>
      <c r="C35" s="101"/>
      <c r="D35" s="101"/>
      <c r="G35" s="103">
        <f>+G34*260/208</f>
        <v>215.82759487179484</v>
      </c>
    </row>
    <row r="36" spans="1:9" s="92" customFormat="1" ht="30" x14ac:dyDescent="0.25">
      <c r="A36" s="99" t="s">
        <v>102</v>
      </c>
      <c r="G36" s="104">
        <f>G35/6</f>
        <v>35.971265811965807</v>
      </c>
      <c r="I36" s="93"/>
    </row>
    <row r="37" spans="1:9" x14ac:dyDescent="0.25">
      <c r="A37" s="55" t="s">
        <v>96</v>
      </c>
      <c r="G37" s="105">
        <f>G36/4</f>
        <v>8.9928164529914518</v>
      </c>
      <c r="H37" t="s">
        <v>103</v>
      </c>
    </row>
    <row r="38" spans="1:9" x14ac:dyDescent="0.25">
      <c r="G38" s="103" t="s">
        <v>119</v>
      </c>
    </row>
    <row r="39" spans="1:9" s="91" customFormat="1" x14ac:dyDescent="0.25"/>
  </sheetData>
  <pageMargins left="0.7" right="0.7" top="0.75" bottom="0.7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2" workbookViewId="0">
      <selection activeCell="D49" sqref="D49"/>
    </sheetView>
  </sheetViews>
  <sheetFormatPr defaultRowHeight="15" x14ac:dyDescent="0.25"/>
  <cols>
    <col min="1" max="1" width="29" bestFit="1" customWidth="1"/>
    <col min="2" max="2" width="11.5703125" bestFit="1" customWidth="1"/>
    <col min="4" max="4" width="13.5703125" customWidth="1"/>
    <col min="5" max="5" width="10.85546875" customWidth="1"/>
    <col min="6" max="6" width="10.42578125" customWidth="1"/>
    <col min="7" max="7" width="9.5703125" bestFit="1" customWidth="1"/>
  </cols>
  <sheetData>
    <row r="1" spans="1:6" x14ac:dyDescent="0.25">
      <c r="A1" s="96" t="s">
        <v>111</v>
      </c>
      <c r="B1" s="96" t="s">
        <v>105</v>
      </c>
      <c r="C1" s="96"/>
    </row>
    <row r="2" spans="1:6" ht="45" x14ac:dyDescent="0.25">
      <c r="A2" s="55" t="s">
        <v>73</v>
      </c>
      <c r="B2" s="101">
        <v>260</v>
      </c>
      <c r="E2" s="84"/>
      <c r="F2" s="84" t="s">
        <v>92</v>
      </c>
    </row>
    <row r="3" spans="1:6" x14ac:dyDescent="0.25">
      <c r="A3" s="55" t="s">
        <v>76</v>
      </c>
    </row>
    <row r="4" spans="1:6" x14ac:dyDescent="0.25">
      <c r="A4" s="55"/>
      <c r="B4" s="55" t="s">
        <v>70</v>
      </c>
      <c r="C4" s="55" t="s">
        <v>71</v>
      </c>
      <c r="D4" s="82"/>
    </row>
    <row r="5" spans="1:6" x14ac:dyDescent="0.25">
      <c r="A5" s="55" t="s">
        <v>69</v>
      </c>
      <c r="B5" s="81">
        <v>12.91</v>
      </c>
      <c r="C5">
        <v>2080</v>
      </c>
      <c r="D5" s="82">
        <f>+C5*B5</f>
        <v>26852.799999999999</v>
      </c>
      <c r="E5" s="81"/>
    </row>
    <row r="6" spans="1:6" x14ac:dyDescent="0.25">
      <c r="A6" s="55" t="s">
        <v>30</v>
      </c>
      <c r="B6" s="59">
        <v>0.22</v>
      </c>
      <c r="D6" s="82">
        <f>+D5*0.22</f>
        <v>5907.616</v>
      </c>
      <c r="E6" s="81"/>
    </row>
    <row r="7" spans="1:6" x14ac:dyDescent="0.25">
      <c r="A7" s="55" t="s">
        <v>91</v>
      </c>
      <c r="B7" s="81">
        <v>12.91</v>
      </c>
      <c r="C7">
        <v>144</v>
      </c>
      <c r="D7" s="82">
        <f>+C7*B7</f>
        <v>1859.04</v>
      </c>
      <c r="E7" s="81"/>
    </row>
    <row r="8" spans="1:6" s="55" customFormat="1" x14ac:dyDescent="0.25">
      <c r="A8" s="55" t="s">
        <v>75</v>
      </c>
      <c r="D8" s="89">
        <f>SUM(D5:D6:D7)</f>
        <v>34619.455999999998</v>
      </c>
      <c r="E8" s="90">
        <f>+D8/260/4</f>
        <v>33.287938461538459</v>
      </c>
    </row>
    <row r="9" spans="1:6" x14ac:dyDescent="0.25">
      <c r="A9" s="55" t="s">
        <v>72</v>
      </c>
      <c r="B9">
        <v>22.16</v>
      </c>
      <c r="C9">
        <v>2080</v>
      </c>
      <c r="D9" s="82">
        <f>+C9*B9</f>
        <v>46092.800000000003</v>
      </c>
    </row>
    <row r="10" spans="1:6" x14ac:dyDescent="0.25">
      <c r="A10" s="55" t="s">
        <v>30</v>
      </c>
      <c r="B10" s="59">
        <v>0.22</v>
      </c>
      <c r="D10" s="82">
        <f>+D9*0.22</f>
        <v>10140.416000000001</v>
      </c>
    </row>
    <row r="11" spans="1:6" s="55" customFormat="1" x14ac:dyDescent="0.25">
      <c r="A11" s="55" t="s">
        <v>90</v>
      </c>
      <c r="D11" s="89">
        <f>SUM(D9:D10)</f>
        <v>56233.216</v>
      </c>
      <c r="E11" s="90">
        <f>+D11/260/25</f>
        <v>8.6512639999999994</v>
      </c>
    </row>
    <row r="12" spans="1:6" x14ac:dyDescent="0.25">
      <c r="A12" s="55" t="s">
        <v>85</v>
      </c>
      <c r="B12">
        <v>19.75</v>
      </c>
      <c r="C12">
        <v>2080</v>
      </c>
      <c r="D12" s="82">
        <f>+C12*B12</f>
        <v>41080</v>
      </c>
    </row>
    <row r="13" spans="1:6" x14ac:dyDescent="0.25">
      <c r="A13" s="55" t="s">
        <v>30</v>
      </c>
      <c r="B13" s="59">
        <v>0.22</v>
      </c>
      <c r="D13" s="82">
        <f>+D12*0.22</f>
        <v>9037.6</v>
      </c>
    </row>
    <row r="14" spans="1:6" s="55" customFormat="1" x14ac:dyDescent="0.25">
      <c r="A14" s="55" t="s">
        <v>90</v>
      </c>
      <c r="B14" s="88"/>
      <c r="D14" s="89">
        <f>SUM(D12:D13)</f>
        <v>50117.599999999999</v>
      </c>
      <c r="E14" s="90">
        <f>+D14/260/25</f>
        <v>7.7103999999999999</v>
      </c>
    </row>
    <row r="15" spans="1:6" x14ac:dyDescent="0.25">
      <c r="A15" s="55" t="s">
        <v>89</v>
      </c>
      <c r="B15" s="81">
        <v>35</v>
      </c>
      <c r="C15">
        <v>2080</v>
      </c>
      <c r="D15" s="82">
        <f>+C15*B15</f>
        <v>72800</v>
      </c>
    </row>
    <row r="16" spans="1:6" x14ac:dyDescent="0.25">
      <c r="A16" s="55" t="s">
        <v>30</v>
      </c>
      <c r="B16" s="59">
        <v>0.22</v>
      </c>
      <c r="D16" s="82">
        <f>+D15*0.22</f>
        <v>16016</v>
      </c>
    </row>
    <row r="17" spans="1:7" s="55" customFormat="1" x14ac:dyDescent="0.25">
      <c r="A17" s="55" t="s">
        <v>75</v>
      </c>
      <c r="B17" s="88"/>
      <c r="D17" s="89">
        <f>SUM(D15:D16)</f>
        <v>88816</v>
      </c>
      <c r="E17" s="90">
        <f>+D17/260/25</f>
        <v>13.664000000000001</v>
      </c>
    </row>
    <row r="18" spans="1:7" s="55" customFormat="1" x14ac:dyDescent="0.25">
      <c r="A18" s="55" t="s">
        <v>74</v>
      </c>
      <c r="D18" s="89">
        <f>SUM(D17,D14,D11,D8)</f>
        <v>229786.272</v>
      </c>
      <c r="E18" s="90"/>
    </row>
    <row r="19" spans="1:7" ht="45" x14ac:dyDescent="0.25">
      <c r="A19" s="97" t="s">
        <v>109</v>
      </c>
      <c r="D19" s="82"/>
      <c r="F19" s="81">
        <f>E8+E11+E14+E17</f>
        <v>63.313602461538458</v>
      </c>
    </row>
    <row r="20" spans="1:7" x14ac:dyDescent="0.25">
      <c r="A20" s="55" t="s">
        <v>82</v>
      </c>
      <c r="D20" s="82"/>
      <c r="G20" s="81">
        <f>+F19</f>
        <v>63.313602461538458</v>
      </c>
    </row>
    <row r="21" spans="1:7" x14ac:dyDescent="0.25">
      <c r="A21" s="55" t="s">
        <v>87</v>
      </c>
      <c r="D21" s="82"/>
    </row>
    <row r="22" spans="1:7" x14ac:dyDescent="0.25">
      <c r="A22" s="55"/>
      <c r="D22" s="82"/>
    </row>
    <row r="23" spans="1:7" x14ac:dyDescent="0.25">
      <c r="A23" s="55" t="s">
        <v>88</v>
      </c>
      <c r="B23">
        <v>200</v>
      </c>
      <c r="C23" t="s">
        <v>95</v>
      </c>
      <c r="D23" s="82">
        <f>+B23*249</f>
        <v>49800</v>
      </c>
      <c r="E23">
        <f t="shared" ref="E23:E29" si="0">+D23/260/25</f>
        <v>7.6615384615384619</v>
      </c>
      <c r="F23" s="81">
        <f t="shared" ref="F23:F29" si="1">+E23</f>
        <v>7.6615384615384619</v>
      </c>
    </row>
    <row r="24" spans="1:7" x14ac:dyDescent="0.25">
      <c r="A24" s="55" t="s">
        <v>7</v>
      </c>
      <c r="B24">
        <v>50</v>
      </c>
      <c r="C24" t="s">
        <v>95</v>
      </c>
      <c r="D24" s="82">
        <f>+B24*249</f>
        <v>12450</v>
      </c>
      <c r="E24">
        <f t="shared" si="0"/>
        <v>1.9153846153846155</v>
      </c>
      <c r="F24" s="81">
        <f t="shared" si="1"/>
        <v>1.9153846153846155</v>
      </c>
    </row>
    <row r="25" spans="1:7" x14ac:dyDescent="0.25">
      <c r="A25" s="55" t="s">
        <v>77</v>
      </c>
      <c r="B25" s="83">
        <v>7000</v>
      </c>
      <c r="C25" t="s">
        <v>78</v>
      </c>
      <c r="D25" s="82">
        <v>84000</v>
      </c>
      <c r="E25" s="81">
        <f t="shared" si="0"/>
        <v>12.923076923076923</v>
      </c>
      <c r="F25" s="81">
        <f t="shared" si="1"/>
        <v>12.923076923076923</v>
      </c>
    </row>
    <row r="26" spans="1:7" x14ac:dyDescent="0.25">
      <c r="A26" s="55" t="s">
        <v>79</v>
      </c>
      <c r="B26" s="83">
        <v>800</v>
      </c>
      <c r="C26" t="s">
        <v>78</v>
      </c>
      <c r="D26" s="82">
        <f>+B26*12</f>
        <v>9600</v>
      </c>
      <c r="E26" s="81">
        <f t="shared" si="0"/>
        <v>1.4769230769230768</v>
      </c>
      <c r="F26" s="81">
        <f t="shared" si="1"/>
        <v>1.4769230769230768</v>
      </c>
    </row>
    <row r="27" spans="1:7" x14ac:dyDescent="0.25">
      <c r="A27" s="55" t="s">
        <v>80</v>
      </c>
      <c r="B27">
        <v>600</v>
      </c>
      <c r="C27" t="s">
        <v>78</v>
      </c>
      <c r="D27" s="82">
        <f>+B27*12</f>
        <v>7200</v>
      </c>
      <c r="E27" s="81">
        <f t="shared" si="0"/>
        <v>1.1076923076923078</v>
      </c>
      <c r="F27" s="81">
        <f t="shared" si="1"/>
        <v>1.1076923076923078</v>
      </c>
    </row>
    <row r="28" spans="1:7" x14ac:dyDescent="0.25">
      <c r="A28" s="55" t="s">
        <v>86</v>
      </c>
      <c r="B28" s="85">
        <v>5000</v>
      </c>
      <c r="C28" t="s">
        <v>78</v>
      </c>
      <c r="D28" s="82">
        <f>+B28*12</f>
        <v>60000</v>
      </c>
      <c r="E28" s="81">
        <f t="shared" si="0"/>
        <v>9.2307692307692317</v>
      </c>
      <c r="F28" s="81">
        <f t="shared" si="1"/>
        <v>9.2307692307692317</v>
      </c>
    </row>
    <row r="29" spans="1:7" x14ac:dyDescent="0.25">
      <c r="A29" s="55" t="s">
        <v>81</v>
      </c>
      <c r="B29" s="85">
        <v>2000</v>
      </c>
      <c r="C29" t="s">
        <v>78</v>
      </c>
      <c r="D29" s="82">
        <f>+B29*12</f>
        <v>24000</v>
      </c>
      <c r="E29" s="81">
        <f t="shared" si="0"/>
        <v>3.6923076923076921</v>
      </c>
      <c r="F29" s="81">
        <f t="shared" si="1"/>
        <v>3.6923076923076921</v>
      </c>
    </row>
    <row r="30" spans="1:7" x14ac:dyDescent="0.25">
      <c r="A30" s="55"/>
      <c r="D30" s="86">
        <f>SUM(D23:D29)</f>
        <v>247050</v>
      </c>
      <c r="E30" s="81"/>
      <c r="F30" s="81"/>
    </row>
    <row r="31" spans="1:7" x14ac:dyDescent="0.25">
      <c r="A31" s="55" t="s">
        <v>82</v>
      </c>
      <c r="G31" s="103">
        <f>SUM(F23:F29)</f>
        <v>38.007692307692309</v>
      </c>
    </row>
    <row r="32" spans="1:7" x14ac:dyDescent="0.25">
      <c r="A32" s="55" t="s">
        <v>83</v>
      </c>
      <c r="D32" s="87">
        <f>SUM(D18,D30)</f>
        <v>476836.272</v>
      </c>
      <c r="G32" s="103">
        <f>+G31+G20</f>
        <v>101.32129476923078</v>
      </c>
    </row>
    <row r="33" spans="1:9" x14ac:dyDescent="0.25">
      <c r="A33" s="55" t="s">
        <v>84</v>
      </c>
      <c r="B33" s="59">
        <v>0.13</v>
      </c>
      <c r="D33" s="87">
        <f>D32*0.13</f>
        <v>61988.715360000002</v>
      </c>
      <c r="E33">
        <f>+D33/260/25</f>
        <v>9.5367254399999997</v>
      </c>
      <c r="G33" s="103">
        <v>12.36</v>
      </c>
    </row>
    <row r="34" spans="1:9" x14ac:dyDescent="0.25">
      <c r="A34" s="55" t="s">
        <v>112</v>
      </c>
      <c r="G34" s="103">
        <f>SUM(G32:G33)</f>
        <v>113.68129476923077</v>
      </c>
    </row>
    <row r="35" spans="1:9" ht="45" x14ac:dyDescent="0.25">
      <c r="A35" s="102" t="s">
        <v>113</v>
      </c>
      <c r="G35" s="103">
        <f>+G34*260/221</f>
        <v>133.74269972850678</v>
      </c>
      <c r="I35" s="81"/>
    </row>
    <row r="36" spans="1:9" s="94" customFormat="1" x14ac:dyDescent="0.25">
      <c r="A36" s="98" t="s">
        <v>94</v>
      </c>
      <c r="G36" s="106">
        <f>G35/6</f>
        <v>22.290449954751129</v>
      </c>
      <c r="H36" s="94" t="s">
        <v>98</v>
      </c>
    </row>
    <row r="37" spans="1:9" x14ac:dyDescent="0.25">
      <c r="A37" s="55"/>
      <c r="G37" s="103"/>
    </row>
    <row r="38" spans="1:9" x14ac:dyDescent="0.25">
      <c r="G38" s="103">
        <f>SUM(G36:G37)</f>
        <v>22.290449954751129</v>
      </c>
    </row>
    <row r="39" spans="1:9" s="91" customFormat="1" x14ac:dyDescent="0.25">
      <c r="G39" s="107">
        <f>G38/4</f>
        <v>5.5726124886877821</v>
      </c>
      <c r="H39" s="91" t="s">
        <v>99</v>
      </c>
    </row>
    <row r="40" spans="1:9" x14ac:dyDescent="0.25">
      <c r="G40" s="95"/>
    </row>
    <row r="41" spans="1:9" x14ac:dyDescent="0.25">
      <c r="F41" s="100"/>
      <c r="H41" t="s">
        <v>114</v>
      </c>
    </row>
  </sheetData>
  <pageMargins left="0.7" right="0.7" top="0.75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workbookViewId="0">
      <selection activeCell="J43" sqref="J43"/>
    </sheetView>
  </sheetViews>
  <sheetFormatPr defaultRowHeight="15" x14ac:dyDescent="0.25"/>
  <cols>
    <col min="1" max="1" width="27.140625" customWidth="1"/>
  </cols>
  <sheetData>
    <row r="1" spans="1:6" x14ac:dyDescent="0.25">
      <c r="A1" s="55" t="s">
        <v>108</v>
      </c>
      <c r="F1" t="s">
        <v>97</v>
      </c>
    </row>
    <row r="2" spans="1:6" x14ac:dyDescent="0.25">
      <c r="A2" s="55" t="s">
        <v>73</v>
      </c>
      <c r="B2">
        <v>260</v>
      </c>
      <c r="F2" t="s">
        <v>92</v>
      </c>
    </row>
    <row r="3" spans="1:6" x14ac:dyDescent="0.25">
      <c r="A3" s="55" t="s">
        <v>76</v>
      </c>
    </row>
    <row r="4" spans="1:6" x14ac:dyDescent="0.25">
      <c r="A4" s="55"/>
      <c r="B4" t="s">
        <v>70</v>
      </c>
      <c r="C4" t="s">
        <v>71</v>
      </c>
    </row>
    <row r="5" spans="1:6" x14ac:dyDescent="0.25">
      <c r="A5" s="55" t="s">
        <v>69</v>
      </c>
      <c r="B5">
        <v>12.91</v>
      </c>
      <c r="C5">
        <v>2080</v>
      </c>
      <c r="D5">
        <f>+C5*B5</f>
        <v>26852.799999999999</v>
      </c>
    </row>
    <row r="6" spans="1:6" x14ac:dyDescent="0.25">
      <c r="A6" s="55" t="s">
        <v>30</v>
      </c>
      <c r="B6">
        <v>0.22</v>
      </c>
      <c r="D6">
        <f>+D5*0.22</f>
        <v>5907.616</v>
      </c>
    </row>
    <row r="7" spans="1:6" x14ac:dyDescent="0.25">
      <c r="A7" s="55" t="s">
        <v>91</v>
      </c>
      <c r="B7">
        <v>12.91</v>
      </c>
      <c r="C7">
        <v>144</v>
      </c>
      <c r="D7">
        <f>+C7*B7</f>
        <v>1859.04</v>
      </c>
    </row>
    <row r="8" spans="1:6" x14ac:dyDescent="0.25">
      <c r="A8" s="55" t="s">
        <v>75</v>
      </c>
      <c r="D8">
        <f>SUM(D5:D6:D7)</f>
        <v>34619.455999999998</v>
      </c>
      <c r="E8">
        <f>+D8/260</f>
        <v>133.15175384615384</v>
      </c>
    </row>
    <row r="9" spans="1:6" x14ac:dyDescent="0.25">
      <c r="A9" s="55" t="s">
        <v>72</v>
      </c>
      <c r="B9">
        <v>22.16</v>
      </c>
      <c r="C9">
        <v>2080</v>
      </c>
      <c r="D9">
        <f>+C9*B9</f>
        <v>46092.800000000003</v>
      </c>
    </row>
    <row r="10" spans="1:6" x14ac:dyDescent="0.25">
      <c r="A10" s="55" t="s">
        <v>30</v>
      </c>
      <c r="B10">
        <v>0.22</v>
      </c>
      <c r="D10">
        <f>+D9*0.22</f>
        <v>10140.416000000001</v>
      </c>
    </row>
    <row r="11" spans="1:6" x14ac:dyDescent="0.25">
      <c r="A11" s="55" t="s">
        <v>90</v>
      </c>
      <c r="D11">
        <f>SUM(D9:D10)</f>
        <v>56233.216</v>
      </c>
      <c r="E11">
        <f>+D11/260/25</f>
        <v>8.6512639999999994</v>
      </c>
    </row>
    <row r="12" spans="1:6" x14ac:dyDescent="0.25">
      <c r="A12" s="55" t="s">
        <v>85</v>
      </c>
      <c r="B12">
        <v>19.75</v>
      </c>
      <c r="C12">
        <v>2080</v>
      </c>
      <c r="D12">
        <f>+C12*B12</f>
        <v>41080</v>
      </c>
    </row>
    <row r="13" spans="1:6" x14ac:dyDescent="0.25">
      <c r="A13" s="55" t="s">
        <v>30</v>
      </c>
      <c r="B13">
        <v>0.22</v>
      </c>
      <c r="D13">
        <f>+D12*0.22</f>
        <v>9037.6</v>
      </c>
    </row>
    <row r="14" spans="1:6" x14ac:dyDescent="0.25">
      <c r="A14" s="55" t="s">
        <v>90</v>
      </c>
      <c r="D14">
        <f>SUM(D12:D13)</f>
        <v>50117.599999999999</v>
      </c>
      <c r="E14">
        <f>+D14/260/25</f>
        <v>7.7103999999999999</v>
      </c>
    </row>
    <row r="15" spans="1:6" x14ac:dyDescent="0.25">
      <c r="A15" s="55" t="s">
        <v>89</v>
      </c>
      <c r="B15">
        <v>35</v>
      </c>
      <c r="C15">
        <v>2080</v>
      </c>
      <c r="D15">
        <f>+C15*B15</f>
        <v>72800</v>
      </c>
    </row>
    <row r="16" spans="1:6" x14ac:dyDescent="0.25">
      <c r="A16" s="55" t="s">
        <v>30</v>
      </c>
      <c r="B16">
        <v>0.22</v>
      </c>
      <c r="D16">
        <f>+D15*0.22</f>
        <v>16016</v>
      </c>
    </row>
    <row r="17" spans="1:7" x14ac:dyDescent="0.25">
      <c r="A17" s="55" t="s">
        <v>75</v>
      </c>
      <c r="D17">
        <f>SUM(D15:D16)</f>
        <v>88816</v>
      </c>
      <c r="E17">
        <f>+D17/260/25</f>
        <v>13.664000000000001</v>
      </c>
    </row>
    <row r="18" spans="1:7" x14ac:dyDescent="0.25">
      <c r="A18" s="55" t="s">
        <v>74</v>
      </c>
      <c r="D18">
        <f>SUM(D17,D14,D11,D8)</f>
        <v>229786.272</v>
      </c>
    </row>
    <row r="19" spans="1:7" x14ac:dyDescent="0.25">
      <c r="A19" s="55" t="s">
        <v>109</v>
      </c>
      <c r="F19">
        <f>E8+E11+E14+E17</f>
        <v>163.17741784615384</v>
      </c>
    </row>
    <row r="20" spans="1:7" x14ac:dyDescent="0.25">
      <c r="A20" s="55" t="s">
        <v>82</v>
      </c>
      <c r="G20">
        <f>+F19</f>
        <v>163.17741784615384</v>
      </c>
    </row>
    <row r="21" spans="1:7" x14ac:dyDescent="0.25">
      <c r="A21" s="55" t="s">
        <v>87</v>
      </c>
    </row>
    <row r="22" spans="1:7" x14ac:dyDescent="0.25">
      <c r="A22" s="55"/>
    </row>
    <row r="23" spans="1:7" x14ac:dyDescent="0.25">
      <c r="A23" s="55" t="s">
        <v>88</v>
      </c>
      <c r="B23">
        <v>200</v>
      </c>
      <c r="C23" t="s">
        <v>95</v>
      </c>
      <c r="D23">
        <f>+B23*249</f>
        <v>49800</v>
      </c>
      <c r="E23">
        <f t="shared" ref="E23:E29" si="0">+D23/260/25</f>
        <v>7.6615384615384619</v>
      </c>
      <c r="F23">
        <f t="shared" ref="F23:F29" si="1">+E23</f>
        <v>7.6615384615384619</v>
      </c>
    </row>
    <row r="24" spans="1:7" x14ac:dyDescent="0.25">
      <c r="A24" s="55" t="s">
        <v>7</v>
      </c>
      <c r="B24">
        <v>50</v>
      </c>
      <c r="C24" t="s">
        <v>95</v>
      </c>
      <c r="D24">
        <f>+B24*249</f>
        <v>12450</v>
      </c>
      <c r="E24">
        <f t="shared" si="0"/>
        <v>1.9153846153846155</v>
      </c>
      <c r="F24">
        <f t="shared" si="1"/>
        <v>1.9153846153846155</v>
      </c>
    </row>
    <row r="25" spans="1:7" x14ac:dyDescent="0.25">
      <c r="A25" s="55" t="s">
        <v>77</v>
      </c>
      <c r="B25">
        <v>7000</v>
      </c>
      <c r="C25" t="s">
        <v>78</v>
      </c>
      <c r="D25">
        <v>82000</v>
      </c>
      <c r="E25">
        <f t="shared" si="0"/>
        <v>12.615384615384615</v>
      </c>
      <c r="F25">
        <f t="shared" si="1"/>
        <v>12.615384615384615</v>
      </c>
    </row>
    <row r="26" spans="1:7" x14ac:dyDescent="0.25">
      <c r="A26" s="55" t="s">
        <v>79</v>
      </c>
      <c r="B26">
        <v>700</v>
      </c>
      <c r="C26" t="s">
        <v>78</v>
      </c>
      <c r="D26">
        <f>+B26*12</f>
        <v>8400</v>
      </c>
      <c r="E26">
        <f t="shared" si="0"/>
        <v>1.2923076923076922</v>
      </c>
      <c r="F26">
        <f t="shared" si="1"/>
        <v>1.2923076923076922</v>
      </c>
    </row>
    <row r="27" spans="1:7" x14ac:dyDescent="0.25">
      <c r="A27" s="55" t="s">
        <v>80</v>
      </c>
      <c r="B27">
        <v>600</v>
      </c>
      <c r="C27" t="s">
        <v>78</v>
      </c>
      <c r="D27">
        <f>+B27*12</f>
        <v>7200</v>
      </c>
      <c r="E27">
        <f t="shared" si="0"/>
        <v>1.1076923076923078</v>
      </c>
      <c r="F27">
        <f t="shared" si="1"/>
        <v>1.1076923076923078</v>
      </c>
    </row>
    <row r="28" spans="1:7" x14ac:dyDescent="0.25">
      <c r="A28" s="55" t="s">
        <v>86</v>
      </c>
      <c r="B28">
        <v>5000</v>
      </c>
      <c r="C28" t="s">
        <v>78</v>
      </c>
      <c r="D28">
        <f>+B28*12</f>
        <v>60000</v>
      </c>
      <c r="E28">
        <f t="shared" si="0"/>
        <v>9.2307692307692317</v>
      </c>
      <c r="F28">
        <f t="shared" si="1"/>
        <v>9.2307692307692317</v>
      </c>
    </row>
    <row r="29" spans="1:7" x14ac:dyDescent="0.25">
      <c r="A29" s="55" t="s">
        <v>81</v>
      </c>
      <c r="B29">
        <v>2000</v>
      </c>
      <c r="C29" t="s">
        <v>78</v>
      </c>
      <c r="D29">
        <f>+B29*12</f>
        <v>24000</v>
      </c>
      <c r="E29">
        <f t="shared" si="0"/>
        <v>3.6923076923076921</v>
      </c>
      <c r="F29">
        <f t="shared" si="1"/>
        <v>3.6923076923076921</v>
      </c>
    </row>
    <row r="30" spans="1:7" x14ac:dyDescent="0.25">
      <c r="A30" s="55"/>
      <c r="D30">
        <f>SUM(D23:D29)</f>
        <v>243850</v>
      </c>
    </row>
    <row r="31" spans="1:7" x14ac:dyDescent="0.25">
      <c r="A31" s="55" t="s">
        <v>82</v>
      </c>
      <c r="G31" s="103">
        <f>SUM(F23:F29)</f>
        <v>37.515384615384619</v>
      </c>
    </row>
    <row r="32" spans="1:7" x14ac:dyDescent="0.25">
      <c r="A32" s="55" t="s">
        <v>83</v>
      </c>
      <c r="D32">
        <f>SUM(D18,D30)</f>
        <v>473636.272</v>
      </c>
      <c r="G32" s="103">
        <f>+G31+G20</f>
        <v>200.69280246153846</v>
      </c>
    </row>
    <row r="33" spans="1:8" x14ac:dyDescent="0.25">
      <c r="A33" s="55" t="s">
        <v>84</v>
      </c>
      <c r="B33">
        <v>0.13</v>
      </c>
      <c r="D33">
        <f>D32*0.13</f>
        <v>61572.715360000002</v>
      </c>
      <c r="E33">
        <f>+D33/260/25</f>
        <v>9.4727254399999996</v>
      </c>
      <c r="G33" s="103">
        <v>12.47</v>
      </c>
    </row>
    <row r="34" spans="1:8" x14ac:dyDescent="0.25">
      <c r="A34" s="55" t="s">
        <v>112</v>
      </c>
      <c r="G34" s="103">
        <f>SUM(G32:G33)</f>
        <v>213.16280246153846</v>
      </c>
    </row>
    <row r="35" spans="1:8" x14ac:dyDescent="0.25">
      <c r="A35" s="55" t="s">
        <v>113</v>
      </c>
      <c r="G35" s="103">
        <f>+G34*260/221</f>
        <v>250.77976760180997</v>
      </c>
    </row>
    <row r="36" spans="1:8" x14ac:dyDescent="0.25">
      <c r="A36" s="55" t="s">
        <v>94</v>
      </c>
      <c r="G36" s="103">
        <f>G35/6</f>
        <v>41.796627933634994</v>
      </c>
      <c r="H36" t="s">
        <v>98</v>
      </c>
    </row>
    <row r="37" spans="1:8" x14ac:dyDescent="0.25">
      <c r="G37" s="103"/>
    </row>
    <row r="38" spans="1:8" x14ac:dyDescent="0.25">
      <c r="G38" s="103">
        <f>SUM(G36:G37)</f>
        <v>41.796627933634994</v>
      </c>
    </row>
    <row r="39" spans="1:8" x14ac:dyDescent="0.25">
      <c r="G39" s="103">
        <f>G38/4</f>
        <v>10.449156983408749</v>
      </c>
      <c r="H39" t="s">
        <v>99</v>
      </c>
    </row>
    <row r="40" spans="1:8" x14ac:dyDescent="0.25">
      <c r="G40" t="s">
        <v>115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A43" sqref="A43"/>
    </sheetView>
  </sheetViews>
  <sheetFormatPr defaultRowHeight="15" x14ac:dyDescent="0.25"/>
  <cols>
    <col min="1" max="1" width="39.42578125" customWidth="1"/>
  </cols>
  <sheetData>
    <row r="1" spans="1:6" x14ac:dyDescent="0.25">
      <c r="A1" s="55" t="s">
        <v>111</v>
      </c>
      <c r="B1" s="55" t="s">
        <v>110</v>
      </c>
      <c r="C1" s="55"/>
      <c r="D1" s="55"/>
    </row>
    <row r="2" spans="1:6" x14ac:dyDescent="0.25">
      <c r="A2" s="55" t="s">
        <v>73</v>
      </c>
      <c r="B2">
        <v>260</v>
      </c>
      <c r="F2" t="s">
        <v>92</v>
      </c>
    </row>
    <row r="3" spans="1:6" x14ac:dyDescent="0.25">
      <c r="A3" s="55" t="s">
        <v>76</v>
      </c>
    </row>
    <row r="4" spans="1:6" x14ac:dyDescent="0.25">
      <c r="A4" s="55"/>
      <c r="B4" t="s">
        <v>70</v>
      </c>
      <c r="C4" t="s">
        <v>71</v>
      </c>
    </row>
    <row r="5" spans="1:6" x14ac:dyDescent="0.25">
      <c r="A5" s="55" t="s">
        <v>69</v>
      </c>
      <c r="B5">
        <v>12.91</v>
      </c>
      <c r="C5">
        <v>2080</v>
      </c>
      <c r="D5">
        <f>+C5*B5</f>
        <v>26852.799999999999</v>
      </c>
    </row>
    <row r="6" spans="1:6" x14ac:dyDescent="0.25">
      <c r="A6" s="55" t="s">
        <v>30</v>
      </c>
      <c r="B6">
        <v>0.22</v>
      </c>
      <c r="D6">
        <f>+D5*0.22</f>
        <v>5907.616</v>
      </c>
    </row>
    <row r="7" spans="1:6" x14ac:dyDescent="0.25">
      <c r="A7" s="55" t="s">
        <v>91</v>
      </c>
      <c r="B7">
        <v>12.91</v>
      </c>
      <c r="C7">
        <v>144</v>
      </c>
      <c r="D7">
        <f>+C7*B7</f>
        <v>1859.04</v>
      </c>
    </row>
    <row r="8" spans="1:6" x14ac:dyDescent="0.25">
      <c r="A8" s="55" t="s">
        <v>75</v>
      </c>
      <c r="D8">
        <f>SUM(D5:D6:D7)</f>
        <v>34619.455999999998</v>
      </c>
      <c r="E8">
        <f>+D8/260/4</f>
        <v>33.287938461538459</v>
      </c>
    </row>
    <row r="9" spans="1:6" x14ac:dyDescent="0.25">
      <c r="A9" s="55" t="s">
        <v>72</v>
      </c>
      <c r="B9">
        <v>22.16</v>
      </c>
      <c r="C9">
        <v>2080</v>
      </c>
      <c r="D9">
        <f>+C9*B9</f>
        <v>46092.800000000003</v>
      </c>
    </row>
    <row r="10" spans="1:6" x14ac:dyDescent="0.25">
      <c r="A10" s="55" t="s">
        <v>30</v>
      </c>
      <c r="B10">
        <v>0.22</v>
      </c>
      <c r="D10">
        <f>+D9*0.22</f>
        <v>10140.416000000001</v>
      </c>
    </row>
    <row r="11" spans="1:6" x14ac:dyDescent="0.25">
      <c r="A11" s="55" t="s">
        <v>90</v>
      </c>
      <c r="D11">
        <f>SUM(D9:D10)</f>
        <v>56233.216</v>
      </c>
      <c r="E11">
        <f>+D11/260/25</f>
        <v>8.6512639999999994</v>
      </c>
    </row>
    <row r="12" spans="1:6" x14ac:dyDescent="0.25">
      <c r="A12" s="55" t="s">
        <v>85</v>
      </c>
      <c r="B12">
        <v>19.75</v>
      </c>
      <c r="C12">
        <v>2080</v>
      </c>
      <c r="D12">
        <f>+C12*B12</f>
        <v>41080</v>
      </c>
    </row>
    <row r="13" spans="1:6" x14ac:dyDescent="0.25">
      <c r="A13" s="55" t="s">
        <v>30</v>
      </c>
      <c r="B13">
        <v>0.22</v>
      </c>
      <c r="D13">
        <f>+D12*0.22</f>
        <v>9037.6</v>
      </c>
    </row>
    <row r="14" spans="1:6" x14ac:dyDescent="0.25">
      <c r="A14" s="55" t="s">
        <v>90</v>
      </c>
      <c r="D14">
        <f>SUM(D12:D13)</f>
        <v>50117.599999999999</v>
      </c>
      <c r="E14">
        <f>+D14/260/25</f>
        <v>7.7103999999999999</v>
      </c>
    </row>
    <row r="15" spans="1:6" x14ac:dyDescent="0.25">
      <c r="A15" s="55"/>
    </row>
    <row r="16" spans="1:6" x14ac:dyDescent="0.25">
      <c r="A16" s="55"/>
    </row>
    <row r="17" spans="1:7" x14ac:dyDescent="0.25">
      <c r="A17" s="55"/>
    </row>
    <row r="18" spans="1:7" x14ac:dyDescent="0.25">
      <c r="A18" s="55" t="s">
        <v>74</v>
      </c>
      <c r="D18">
        <f>SUM(D17,D14,D11,D8)</f>
        <v>140970.272</v>
      </c>
    </row>
    <row r="19" spans="1:7" x14ac:dyDescent="0.25">
      <c r="A19" s="55" t="s">
        <v>116</v>
      </c>
      <c r="F19">
        <f>E8+E11+E14+E17</f>
        <v>49.649602461538457</v>
      </c>
    </row>
    <row r="20" spans="1:7" x14ac:dyDescent="0.25">
      <c r="A20" s="55" t="s">
        <v>82</v>
      </c>
      <c r="G20">
        <f>+F19</f>
        <v>49.649602461538457</v>
      </c>
    </row>
    <row r="21" spans="1:7" x14ac:dyDescent="0.25">
      <c r="A21" s="55" t="s">
        <v>87</v>
      </c>
    </row>
    <row r="22" spans="1:7" x14ac:dyDescent="0.25">
      <c r="A22" s="55"/>
    </row>
    <row r="23" spans="1:7" x14ac:dyDescent="0.25">
      <c r="A23" s="55" t="s">
        <v>88</v>
      </c>
      <c r="B23">
        <v>200</v>
      </c>
      <c r="C23" t="s">
        <v>95</v>
      </c>
      <c r="D23">
        <f>+B23*249</f>
        <v>49800</v>
      </c>
      <c r="E23">
        <f t="shared" ref="E23:E29" si="0">+D23/260/25</f>
        <v>7.6615384615384619</v>
      </c>
      <c r="F23">
        <f t="shared" ref="F23:F29" si="1">+E23</f>
        <v>7.6615384615384619</v>
      </c>
    </row>
    <row r="24" spans="1:7" x14ac:dyDescent="0.25">
      <c r="A24" s="55" t="s">
        <v>7</v>
      </c>
      <c r="B24">
        <v>50</v>
      </c>
      <c r="C24" t="s">
        <v>95</v>
      </c>
      <c r="D24">
        <f>+B24*249</f>
        <v>12450</v>
      </c>
      <c r="E24">
        <f t="shared" si="0"/>
        <v>1.9153846153846155</v>
      </c>
      <c r="F24">
        <f t="shared" si="1"/>
        <v>1.9153846153846155</v>
      </c>
    </row>
    <row r="25" spans="1:7" x14ac:dyDescent="0.25">
      <c r="A25" s="55" t="s">
        <v>77</v>
      </c>
      <c r="B25">
        <v>7000</v>
      </c>
      <c r="C25" t="s">
        <v>78</v>
      </c>
      <c r="D25">
        <v>84000</v>
      </c>
      <c r="E25">
        <f t="shared" si="0"/>
        <v>12.923076923076923</v>
      </c>
      <c r="F25">
        <f t="shared" si="1"/>
        <v>12.923076923076923</v>
      </c>
    </row>
    <row r="26" spans="1:7" x14ac:dyDescent="0.25">
      <c r="A26" s="55" t="s">
        <v>79</v>
      </c>
      <c r="B26">
        <v>800</v>
      </c>
      <c r="C26" t="s">
        <v>78</v>
      </c>
      <c r="D26">
        <f>+B26*12</f>
        <v>9600</v>
      </c>
      <c r="E26">
        <f t="shared" si="0"/>
        <v>1.4769230769230768</v>
      </c>
      <c r="F26">
        <f t="shared" si="1"/>
        <v>1.4769230769230768</v>
      </c>
    </row>
    <row r="27" spans="1:7" x14ac:dyDescent="0.25">
      <c r="A27" s="55" t="s">
        <v>80</v>
      </c>
      <c r="B27">
        <v>600</v>
      </c>
      <c r="C27" t="s">
        <v>78</v>
      </c>
      <c r="D27">
        <f>+B27*12</f>
        <v>7200</v>
      </c>
      <c r="E27">
        <f t="shared" si="0"/>
        <v>1.1076923076923078</v>
      </c>
      <c r="F27">
        <f t="shared" si="1"/>
        <v>1.1076923076923078</v>
      </c>
    </row>
    <row r="28" spans="1:7" x14ac:dyDescent="0.25">
      <c r="A28" s="55" t="s">
        <v>86</v>
      </c>
      <c r="B28">
        <v>5000</v>
      </c>
      <c r="C28" t="s">
        <v>78</v>
      </c>
      <c r="D28">
        <f>+B28*12</f>
        <v>60000</v>
      </c>
      <c r="E28">
        <f t="shared" si="0"/>
        <v>9.2307692307692317</v>
      </c>
      <c r="F28">
        <f t="shared" si="1"/>
        <v>9.2307692307692317</v>
      </c>
    </row>
    <row r="29" spans="1:7" x14ac:dyDescent="0.25">
      <c r="A29" s="55" t="s">
        <v>81</v>
      </c>
      <c r="B29">
        <v>2000</v>
      </c>
      <c r="C29" t="s">
        <v>78</v>
      </c>
      <c r="D29">
        <f>+B29*12</f>
        <v>24000</v>
      </c>
      <c r="E29">
        <f t="shared" si="0"/>
        <v>3.6923076923076921</v>
      </c>
      <c r="F29">
        <f t="shared" si="1"/>
        <v>3.6923076923076921</v>
      </c>
    </row>
    <row r="30" spans="1:7" x14ac:dyDescent="0.25">
      <c r="A30" s="55"/>
      <c r="D30">
        <f>SUM(D23:D29)</f>
        <v>247050</v>
      </c>
    </row>
    <row r="31" spans="1:7" x14ac:dyDescent="0.25">
      <c r="A31" s="55" t="s">
        <v>82</v>
      </c>
      <c r="G31" s="103">
        <f>SUM(F23:F29)</f>
        <v>38.007692307692309</v>
      </c>
    </row>
    <row r="32" spans="1:7" x14ac:dyDescent="0.25">
      <c r="A32" s="55" t="s">
        <v>83</v>
      </c>
      <c r="D32">
        <f>SUM(D18,D30)</f>
        <v>388020.272</v>
      </c>
      <c r="G32" s="103">
        <f>+G31+G20</f>
        <v>87.657294769230759</v>
      </c>
    </row>
    <row r="33" spans="1:8" x14ac:dyDescent="0.25">
      <c r="A33" s="55" t="s">
        <v>84</v>
      </c>
      <c r="B33">
        <v>0.13</v>
      </c>
      <c r="D33">
        <f>D32*0.13</f>
        <v>50442.63536</v>
      </c>
      <c r="E33">
        <f>+D33/260/25</f>
        <v>7.7604054399999995</v>
      </c>
      <c r="G33" s="103">
        <v>12.36</v>
      </c>
    </row>
    <row r="34" spans="1:8" x14ac:dyDescent="0.25">
      <c r="A34" s="55" t="s">
        <v>112</v>
      </c>
      <c r="G34" s="103">
        <f>SUM(G32:G33)</f>
        <v>100.01729476923076</v>
      </c>
    </row>
    <row r="35" spans="1:8" x14ac:dyDescent="0.25">
      <c r="A35" s="55" t="s">
        <v>113</v>
      </c>
      <c r="G35" s="103">
        <f>+G34*260/221</f>
        <v>117.66740561085972</v>
      </c>
    </row>
    <row r="36" spans="1:8" x14ac:dyDescent="0.25">
      <c r="A36" s="55" t="s">
        <v>94</v>
      </c>
      <c r="G36" s="103">
        <f>G35/6</f>
        <v>19.611234268476618</v>
      </c>
      <c r="H36" t="s">
        <v>98</v>
      </c>
    </row>
    <row r="37" spans="1:8" x14ac:dyDescent="0.25">
      <c r="G37" s="103"/>
    </row>
    <row r="38" spans="1:8" x14ac:dyDescent="0.25">
      <c r="G38" s="103">
        <f>SUM(G36:G37)</f>
        <v>19.611234268476618</v>
      </c>
    </row>
    <row r="39" spans="1:8" x14ac:dyDescent="0.25">
      <c r="G39" s="103">
        <f>G38/4</f>
        <v>4.9028085671191546</v>
      </c>
      <c r="H39" t="s">
        <v>99</v>
      </c>
    </row>
    <row r="40" spans="1:8" x14ac:dyDescent="0.25">
      <c r="G40" t="s">
        <v>117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Provider sheet</vt:lpstr>
      <vt:lpstr>KR sheet</vt:lpstr>
      <vt:lpstr>Rate models</vt:lpstr>
      <vt:lpstr>1</vt:lpstr>
      <vt:lpstr>Sheet3</vt:lpstr>
      <vt:lpstr>Day Hab SMGrp</vt:lpstr>
      <vt:lpstr>Day Hab Lg Grp</vt:lpstr>
      <vt:lpstr>DH onetoone</vt:lpstr>
      <vt:lpstr>ER</vt:lpstr>
      <vt:lpstr>'1'!Print_Area</vt:lpstr>
      <vt:lpstr>'Day Hab Lg Grp'!Print_Area</vt:lpstr>
      <vt:lpstr>'Day Hab SMGrp'!Print_Area</vt:lpstr>
      <vt:lpstr>'DH onetoone'!Print_Area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Beidleman, Steven (DDS)</cp:lastModifiedBy>
  <cp:lastPrinted>2014-10-27T17:55:28Z</cp:lastPrinted>
  <dcterms:created xsi:type="dcterms:W3CDTF">2012-05-10T13:06:34Z</dcterms:created>
  <dcterms:modified xsi:type="dcterms:W3CDTF">2015-04-29T19:17:31Z</dcterms:modified>
</cp:coreProperties>
</file>